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Ken\Documents\Business-Financial\SAP\SAP For Sale\Sales Package\"/>
    </mc:Choice>
  </mc:AlternateContent>
  <bookViews>
    <workbookView xWindow="0" yWindow="1740" windowWidth="12000" windowHeight="6255" activeTab="4"/>
  </bookViews>
  <sheets>
    <sheet name="ALL TOTAL" sheetId="2" r:id="rId1"/>
    <sheet name="169" sheetId="16" r:id="rId2"/>
    <sheet name="17" sheetId="14" r:id="rId3"/>
    <sheet name="60" sheetId="1" r:id="rId4"/>
    <sheet name="28" sheetId="15" r:id="rId5"/>
  </sheets>
  <definedNames>
    <definedName name="_xlnm.Print_Area" localSheetId="3">'60'!$A$1:$M$262</definedName>
    <definedName name="_xlnm.Print_Area">#N/A</definedName>
    <definedName name="PRINT_AREA_MI">#N/A</definedName>
  </definedNames>
  <calcPr calcId="152511"/>
</workbook>
</file>

<file path=xl/calcChain.xml><?xml version="1.0" encoding="utf-8"?>
<calcChain xmlns="http://schemas.openxmlformats.org/spreadsheetml/2006/main">
  <c r="C20" i="15" l="1"/>
  <c r="C33" i="15"/>
  <c r="C32" i="15"/>
  <c r="H19" i="1" l="1"/>
  <c r="D7" i="2" l="1"/>
  <c r="D6" i="2"/>
  <c r="D5" i="2"/>
  <c r="D4" i="2"/>
  <c r="H19" i="15" l="1"/>
  <c r="H19" i="16" l="1"/>
  <c r="H12" i="14"/>
  <c r="C30" i="1" l="1"/>
  <c r="C31" i="1" s="1"/>
  <c r="C26" i="14"/>
  <c r="C27" i="14" s="1"/>
  <c r="C36" i="16"/>
  <c r="C37" i="16" s="1"/>
  <c r="H17" i="14" l="1"/>
  <c r="H31" i="15"/>
  <c r="H31" i="1"/>
  <c r="H24" i="14"/>
  <c r="H31" i="16"/>
  <c r="H24" i="16"/>
  <c r="H24" i="15" l="1"/>
  <c r="H24" i="1" l="1"/>
  <c r="B58" i="1"/>
  <c r="G7" i="2"/>
  <c r="H7" i="2" s="1"/>
  <c r="P7" i="2" s="1"/>
  <c r="C9" i="2"/>
  <c r="D9" i="2"/>
  <c r="F9" i="2"/>
  <c r="L24" i="1"/>
  <c r="L24" i="16"/>
  <c r="C224" i="16"/>
  <c r="I223" i="16"/>
  <c r="D198" i="16"/>
  <c r="C175" i="16"/>
  <c r="M174" i="16"/>
  <c r="L174" i="16"/>
  <c r="K174" i="16"/>
  <c r="J174" i="16"/>
  <c r="I174" i="16"/>
  <c r="H174" i="16"/>
  <c r="G174" i="16"/>
  <c r="F174" i="16"/>
  <c r="E174" i="16"/>
  <c r="D174" i="16"/>
  <c r="D146" i="16"/>
  <c r="E146" i="16" s="1"/>
  <c r="F146" i="16" s="1"/>
  <c r="G146" i="16" s="1"/>
  <c r="H146" i="16" s="1"/>
  <c r="I146" i="16" s="1"/>
  <c r="J146" i="16" s="1"/>
  <c r="K146" i="16" s="1"/>
  <c r="L146" i="16" s="1"/>
  <c r="M146" i="16" s="1"/>
  <c r="C127" i="16"/>
  <c r="L127" i="16" s="1"/>
  <c r="C109" i="16"/>
  <c r="M109" i="16" s="1"/>
  <c r="D87" i="16"/>
  <c r="D86" i="16"/>
  <c r="D85" i="16"/>
  <c r="D84" i="16"/>
  <c r="D83" i="16"/>
  <c r="C82" i="16"/>
  <c r="C81" i="16"/>
  <c r="D80" i="16"/>
  <c r="D79" i="16"/>
  <c r="D78" i="16"/>
  <c r="D77" i="16"/>
  <c r="D76" i="16"/>
  <c r="D75" i="16"/>
  <c r="D74" i="16"/>
  <c r="C73" i="16"/>
  <c r="L73" i="16" s="1"/>
  <c r="C67" i="16"/>
  <c r="C65" i="16"/>
  <c r="M65" i="16" s="1"/>
  <c r="B60" i="16"/>
  <c r="H58" i="16"/>
  <c r="H57" i="16"/>
  <c r="H56" i="16" s="1"/>
  <c r="E57" i="16"/>
  <c r="E56" i="16"/>
  <c r="B56" i="16"/>
  <c r="B59" i="16" s="1"/>
  <c r="B57" i="16"/>
  <c r="D145" i="16" s="1"/>
  <c r="L10" i="16"/>
  <c r="I223" i="15"/>
  <c r="D198" i="15"/>
  <c r="C175" i="15"/>
  <c r="M174" i="15"/>
  <c r="L174" i="15"/>
  <c r="K174" i="15"/>
  <c r="J174" i="15"/>
  <c r="I174" i="15"/>
  <c r="H174" i="15"/>
  <c r="G174" i="15"/>
  <c r="F174" i="15"/>
  <c r="E174" i="15"/>
  <c r="D174" i="15"/>
  <c r="D146" i="15"/>
  <c r="E146" i="15" s="1"/>
  <c r="F146" i="15" s="1"/>
  <c r="G146" i="15" s="1"/>
  <c r="H146" i="15" s="1"/>
  <c r="I146" i="15" s="1"/>
  <c r="J146" i="15" s="1"/>
  <c r="K146" i="15" s="1"/>
  <c r="L146" i="15" s="1"/>
  <c r="M146" i="15" s="1"/>
  <c r="C127" i="15"/>
  <c r="L127" i="15" s="1"/>
  <c r="C109" i="15"/>
  <c r="M109" i="15" s="1"/>
  <c r="D87" i="15"/>
  <c r="D86" i="15"/>
  <c r="D85" i="15"/>
  <c r="D84" i="15"/>
  <c r="D83" i="15"/>
  <c r="C82" i="15"/>
  <c r="C81" i="15"/>
  <c r="D80" i="15"/>
  <c r="D79" i="15"/>
  <c r="D78" i="15"/>
  <c r="D77" i="15"/>
  <c r="D76" i="15"/>
  <c r="D75" i="15"/>
  <c r="D74" i="15"/>
  <c r="C73" i="15"/>
  <c r="M73" i="15" s="1"/>
  <c r="C67" i="15"/>
  <c r="D66" i="15"/>
  <c r="C65" i="15"/>
  <c r="L65" i="15" s="1"/>
  <c r="B60" i="15"/>
  <c r="H58" i="15"/>
  <c r="H57" i="15"/>
  <c r="H56" i="15" s="1"/>
  <c r="E57" i="15"/>
  <c r="E56" i="15"/>
  <c r="B56" i="15"/>
  <c r="B57" i="15"/>
  <c r="D145" i="15" s="1"/>
  <c r="L10" i="15"/>
  <c r="C217" i="14"/>
  <c r="I216" i="14"/>
  <c r="D191" i="14"/>
  <c r="C168" i="14"/>
  <c r="M167" i="14"/>
  <c r="L167" i="14"/>
  <c r="K167" i="14"/>
  <c r="J167" i="14"/>
  <c r="I167" i="14"/>
  <c r="H167" i="14"/>
  <c r="G167" i="14"/>
  <c r="F167" i="14"/>
  <c r="E167" i="14"/>
  <c r="D167" i="14"/>
  <c r="D139" i="14"/>
  <c r="E139" i="14" s="1"/>
  <c r="F139" i="14" s="1"/>
  <c r="G139" i="14" s="1"/>
  <c r="H139" i="14" s="1"/>
  <c r="I139" i="14" s="1"/>
  <c r="J139" i="14" s="1"/>
  <c r="K139" i="14" s="1"/>
  <c r="L139" i="14" s="1"/>
  <c r="M139" i="14" s="1"/>
  <c r="C120" i="14"/>
  <c r="L120" i="14" s="1"/>
  <c r="C102" i="14"/>
  <c r="M102" i="14" s="1"/>
  <c r="D80" i="14"/>
  <c r="D79" i="14"/>
  <c r="D78" i="14"/>
  <c r="D77" i="14"/>
  <c r="D76" i="14"/>
  <c r="C75" i="14"/>
  <c r="C74" i="14"/>
  <c r="D73" i="14"/>
  <c r="D72" i="14"/>
  <c r="D70" i="14"/>
  <c r="D69" i="14"/>
  <c r="D68" i="14"/>
  <c r="D67" i="14"/>
  <c r="C66" i="14"/>
  <c r="M66" i="14" s="1"/>
  <c r="C60" i="14"/>
  <c r="C58" i="14"/>
  <c r="L58" i="14" s="1"/>
  <c r="B53" i="14"/>
  <c r="H51" i="14"/>
  <c r="H50" i="14"/>
  <c r="H49" i="14" s="1"/>
  <c r="E50" i="14"/>
  <c r="E49" i="14"/>
  <c r="B49" i="14"/>
  <c r="L10" i="1"/>
  <c r="B57" i="1"/>
  <c r="D128" i="1" s="1"/>
  <c r="E56" i="1"/>
  <c r="E57" i="1"/>
  <c r="H57" i="1"/>
  <c r="H56" i="1" s="1"/>
  <c r="H58" i="1"/>
  <c r="B61" i="1"/>
  <c r="C66" i="1"/>
  <c r="K65" i="1" s="1"/>
  <c r="C68" i="1"/>
  <c r="C74" i="1"/>
  <c r="D74" i="1"/>
  <c r="D75" i="1"/>
  <c r="D76" i="1"/>
  <c r="D77" i="1"/>
  <c r="D78" i="1"/>
  <c r="D79" i="1"/>
  <c r="D80" i="1"/>
  <c r="C82" i="1"/>
  <c r="C83" i="1"/>
  <c r="D83" i="1"/>
  <c r="D84" i="1"/>
  <c r="D85" i="1"/>
  <c r="D86" i="1"/>
  <c r="D87" i="1"/>
  <c r="C110" i="1"/>
  <c r="D109" i="1" s="1"/>
  <c r="F109" i="1"/>
  <c r="H109" i="1"/>
  <c r="C128" i="1"/>
  <c r="E127" i="1" s="1"/>
  <c r="D146" i="1"/>
  <c r="E146" i="1" s="1"/>
  <c r="F146" i="1" s="1"/>
  <c r="G146" i="1" s="1"/>
  <c r="H146" i="1" s="1"/>
  <c r="I146" i="1" s="1"/>
  <c r="J146" i="1" s="1"/>
  <c r="K146" i="1" s="1"/>
  <c r="L146" i="1" s="1"/>
  <c r="M146" i="1" s="1"/>
  <c r="D174" i="1"/>
  <c r="E174" i="1"/>
  <c r="F174" i="1"/>
  <c r="G174" i="1"/>
  <c r="H174" i="1"/>
  <c r="I174" i="1"/>
  <c r="J174" i="1"/>
  <c r="K174" i="1"/>
  <c r="L174" i="1"/>
  <c r="M174" i="1"/>
  <c r="C176" i="1"/>
  <c r="D198" i="1"/>
  <c r="I223" i="1"/>
  <c r="C225" i="1"/>
  <c r="H127" i="1" l="1"/>
  <c r="L65" i="1"/>
  <c r="L127" i="1"/>
  <c r="K127" i="1"/>
  <c r="F65" i="1"/>
  <c r="I109" i="1"/>
  <c r="J127" i="1"/>
  <c r="G65" i="1"/>
  <c r="B60" i="1"/>
  <c r="I57" i="1" s="1"/>
  <c r="H59" i="1" s="1"/>
  <c r="D107" i="1" s="1"/>
  <c r="D176" i="1" s="1"/>
  <c r="M127" i="1"/>
  <c r="D71" i="14"/>
  <c r="E73" i="1"/>
  <c r="E77" i="1" s="1"/>
  <c r="G73" i="1"/>
  <c r="J118" i="1"/>
  <c r="G118" i="1"/>
  <c r="F127" i="1"/>
  <c r="G109" i="1"/>
  <c r="I65" i="1"/>
  <c r="K109" i="1"/>
  <c r="H65" i="1"/>
  <c r="G127" i="1"/>
  <c r="L109" i="1"/>
  <c r="M73" i="1"/>
  <c r="I127" i="1"/>
  <c r="M109" i="1"/>
  <c r="E109" i="1"/>
  <c r="M65" i="1"/>
  <c r="E65" i="1"/>
  <c r="F73" i="1"/>
  <c r="D127" i="1"/>
  <c r="D129" i="1" s="1"/>
  <c r="J109" i="1"/>
  <c r="K73" i="1"/>
  <c r="J65" i="1"/>
  <c r="H118" i="1"/>
  <c r="K118" i="1"/>
  <c r="L73" i="1"/>
  <c r="I73" i="1"/>
  <c r="G6" i="2"/>
  <c r="H6" i="2" s="1"/>
  <c r="P6" i="2" s="1"/>
  <c r="D66" i="1"/>
  <c r="D66" i="16"/>
  <c r="D67" i="16" s="1"/>
  <c r="D68" i="16" s="1"/>
  <c r="G4" i="2"/>
  <c r="H4" i="2" s="1"/>
  <c r="P4" i="2" s="1"/>
  <c r="I56" i="1"/>
  <c r="L118" i="1"/>
  <c r="D118" i="1"/>
  <c r="M118" i="1"/>
  <c r="E118" i="1"/>
  <c r="F118" i="1"/>
  <c r="I118" i="1"/>
  <c r="G5" i="2"/>
  <c r="D59" i="14"/>
  <c r="D60" i="14" s="1"/>
  <c r="E74" i="1"/>
  <c r="E75" i="1"/>
  <c r="E84" i="1"/>
  <c r="E85" i="1"/>
  <c r="E76" i="1"/>
  <c r="J73" i="1"/>
  <c r="H73" i="1"/>
  <c r="D163" i="1"/>
  <c r="I56" i="15"/>
  <c r="D147" i="16"/>
  <c r="E145" i="16"/>
  <c r="M118" i="16"/>
  <c r="K118" i="16"/>
  <c r="I118" i="16"/>
  <c r="G118" i="16"/>
  <c r="E118" i="16"/>
  <c r="L118" i="16"/>
  <c r="J118" i="16"/>
  <c r="H118" i="16"/>
  <c r="F118" i="16"/>
  <c r="D118" i="16"/>
  <c r="I56" i="16"/>
  <c r="I57" i="16"/>
  <c r="H59" i="16" s="1"/>
  <c r="D107" i="16" s="1"/>
  <c r="F65" i="16"/>
  <c r="H65" i="16"/>
  <c r="J65" i="16"/>
  <c r="L65" i="16"/>
  <c r="E73" i="16"/>
  <c r="G73" i="16"/>
  <c r="I73" i="16"/>
  <c r="K73" i="16"/>
  <c r="M73" i="16"/>
  <c r="D173" i="16"/>
  <c r="D128" i="16"/>
  <c r="D163" i="16" s="1"/>
  <c r="B58" i="16"/>
  <c r="D116" i="16" s="1"/>
  <c r="E65" i="16"/>
  <c r="G65" i="16"/>
  <c r="I65" i="16"/>
  <c r="K65" i="16"/>
  <c r="F73" i="16"/>
  <c r="H73" i="16"/>
  <c r="J73" i="16"/>
  <c r="D109" i="16"/>
  <c r="F109" i="16"/>
  <c r="H109" i="16"/>
  <c r="J109" i="16"/>
  <c r="L109" i="16"/>
  <c r="E127" i="16"/>
  <c r="G127" i="16"/>
  <c r="I127" i="16"/>
  <c r="K127" i="16"/>
  <c r="M127" i="16"/>
  <c r="E109" i="16"/>
  <c r="G109" i="16"/>
  <c r="I109" i="16"/>
  <c r="K109" i="16"/>
  <c r="D127" i="16"/>
  <c r="F127" i="16"/>
  <c r="H127" i="16"/>
  <c r="J127" i="16"/>
  <c r="D147" i="15"/>
  <c r="E145" i="15"/>
  <c r="D128" i="15"/>
  <c r="D163" i="15" s="1"/>
  <c r="B58" i="15"/>
  <c r="D116" i="15" s="1"/>
  <c r="E65" i="15"/>
  <c r="E66" i="15" s="1"/>
  <c r="E67" i="15" s="1"/>
  <c r="G65" i="15"/>
  <c r="I65" i="15"/>
  <c r="K65" i="15"/>
  <c r="M65" i="15"/>
  <c r="D67" i="15"/>
  <c r="D68" i="15" s="1"/>
  <c r="F73" i="15"/>
  <c r="H73" i="15"/>
  <c r="J73" i="15"/>
  <c r="L73" i="15"/>
  <c r="M118" i="15"/>
  <c r="K118" i="15"/>
  <c r="I118" i="15"/>
  <c r="G118" i="15"/>
  <c r="E118" i="15"/>
  <c r="L118" i="15"/>
  <c r="J118" i="15"/>
  <c r="H118" i="15"/>
  <c r="F118" i="15"/>
  <c r="D118" i="15"/>
  <c r="B59" i="15"/>
  <c r="D173" i="15" s="1"/>
  <c r="F65" i="15"/>
  <c r="H65" i="15"/>
  <c r="J65" i="15"/>
  <c r="E73" i="15"/>
  <c r="G73" i="15"/>
  <c r="I73" i="15"/>
  <c r="K73" i="15"/>
  <c r="D109" i="15"/>
  <c r="F109" i="15"/>
  <c r="H109" i="15"/>
  <c r="J109" i="15"/>
  <c r="L109" i="15"/>
  <c r="E127" i="15"/>
  <c r="G127" i="15"/>
  <c r="I127" i="15"/>
  <c r="K127" i="15"/>
  <c r="M127" i="15"/>
  <c r="E109" i="15"/>
  <c r="G109" i="15"/>
  <c r="I109" i="15"/>
  <c r="K109" i="15"/>
  <c r="D127" i="15"/>
  <c r="F127" i="15"/>
  <c r="H127" i="15"/>
  <c r="J127" i="15"/>
  <c r="B50" i="14"/>
  <c r="I49" i="14"/>
  <c r="D121" i="14"/>
  <c r="D156" i="14" s="1"/>
  <c r="E58" i="14"/>
  <c r="G58" i="14"/>
  <c r="I58" i="14"/>
  <c r="K58" i="14"/>
  <c r="M58" i="14"/>
  <c r="F66" i="14"/>
  <c r="H66" i="14"/>
  <c r="J66" i="14"/>
  <c r="L66" i="14"/>
  <c r="M111" i="14"/>
  <c r="K111" i="14"/>
  <c r="I111" i="14"/>
  <c r="G111" i="14"/>
  <c r="E111" i="14"/>
  <c r="L111" i="14"/>
  <c r="J111" i="14"/>
  <c r="H111" i="14"/>
  <c r="F111" i="14"/>
  <c r="D111" i="14"/>
  <c r="B52" i="14"/>
  <c r="I50" i="14" s="1"/>
  <c r="H52" i="14" s="1"/>
  <c r="D100" i="14" s="1"/>
  <c r="F58" i="14"/>
  <c r="H58" i="14"/>
  <c r="J58" i="14"/>
  <c r="E66" i="14"/>
  <c r="G66" i="14"/>
  <c r="I66" i="14"/>
  <c r="K66" i="14"/>
  <c r="D102" i="14"/>
  <c r="F102" i="14"/>
  <c r="H102" i="14"/>
  <c r="J102" i="14"/>
  <c r="L102" i="14"/>
  <c r="E120" i="14"/>
  <c r="G120" i="14"/>
  <c r="I120" i="14"/>
  <c r="K120" i="14"/>
  <c r="M120" i="14"/>
  <c r="E102" i="14"/>
  <c r="G102" i="14"/>
  <c r="I102" i="14"/>
  <c r="K102" i="14"/>
  <c r="D120" i="14"/>
  <c r="F120" i="14"/>
  <c r="H120" i="14"/>
  <c r="J120" i="14"/>
  <c r="D145" i="1"/>
  <c r="E145" i="1" s="1"/>
  <c r="B59" i="1"/>
  <c r="D122" i="14" l="1"/>
  <c r="E121" i="14" s="1"/>
  <c r="E156" i="14" s="1"/>
  <c r="D173" i="1"/>
  <c r="E173" i="1" s="1"/>
  <c r="F173" i="1" s="1"/>
  <c r="G173" i="1" s="1"/>
  <c r="H173" i="1" s="1"/>
  <c r="D129" i="16"/>
  <c r="D180" i="16" s="1"/>
  <c r="E66" i="16"/>
  <c r="E67" i="16" s="1"/>
  <c r="E68" i="16" s="1"/>
  <c r="E79" i="1"/>
  <c r="D129" i="15"/>
  <c r="D185" i="15" s="1"/>
  <c r="E58" i="15"/>
  <c r="J119" i="15" s="1"/>
  <c r="D147" i="1"/>
  <c r="E83" i="1"/>
  <c r="F83" i="1" s="1"/>
  <c r="G83" i="1" s="1"/>
  <c r="H83" i="1" s="1"/>
  <c r="I83" i="1" s="1"/>
  <c r="J83" i="1" s="1"/>
  <c r="K83" i="1" s="1"/>
  <c r="L83" i="1" s="1"/>
  <c r="M83" i="1" s="1"/>
  <c r="E80" i="1"/>
  <c r="F80" i="1" s="1"/>
  <c r="G80" i="1" s="1"/>
  <c r="H80" i="1" s="1"/>
  <c r="I80" i="1" s="1"/>
  <c r="J80" i="1" s="1"/>
  <c r="K80" i="1" s="1"/>
  <c r="L80" i="1" s="1"/>
  <c r="M80" i="1" s="1"/>
  <c r="E87" i="1"/>
  <c r="E78" i="1"/>
  <c r="F78" i="1" s="1"/>
  <c r="G78" i="1" s="1"/>
  <c r="H78" i="1" s="1"/>
  <c r="I78" i="1" s="1"/>
  <c r="J78" i="1" s="1"/>
  <c r="K78" i="1" s="1"/>
  <c r="L78" i="1" s="1"/>
  <c r="M78" i="1" s="1"/>
  <c r="E66" i="1"/>
  <c r="F66" i="1" s="1"/>
  <c r="F67" i="1" s="1"/>
  <c r="F68" i="1" s="1"/>
  <c r="F66" i="15"/>
  <c r="F67" i="15" s="1"/>
  <c r="F68" i="15" s="1"/>
  <c r="E107" i="1"/>
  <c r="F107" i="1" s="1"/>
  <c r="G107" i="1" s="1"/>
  <c r="H107" i="1" s="1"/>
  <c r="I107" i="1" s="1"/>
  <c r="J107" i="1" s="1"/>
  <c r="K107" i="1" s="1"/>
  <c r="L107" i="1" s="1"/>
  <c r="M107" i="1" s="1"/>
  <c r="E86" i="1"/>
  <c r="F86" i="1" s="1"/>
  <c r="G86" i="1" s="1"/>
  <c r="H86" i="1" s="1"/>
  <c r="I86" i="1" s="1"/>
  <c r="J86" i="1" s="1"/>
  <c r="K86" i="1" s="1"/>
  <c r="L86" i="1" s="1"/>
  <c r="M86" i="1" s="1"/>
  <c r="D130" i="1"/>
  <c r="D141" i="1" s="1"/>
  <c r="D159" i="1" s="1"/>
  <c r="D180" i="1"/>
  <c r="D175" i="1"/>
  <c r="D195" i="1" s="1"/>
  <c r="E128" i="1"/>
  <c r="E129" i="1" s="1"/>
  <c r="D185" i="1"/>
  <c r="D194" i="1" s="1"/>
  <c r="F84" i="1"/>
  <c r="G84" i="1" s="1"/>
  <c r="H84" i="1" s="1"/>
  <c r="I84" i="1" s="1"/>
  <c r="J84" i="1" s="1"/>
  <c r="K84" i="1" s="1"/>
  <c r="L84" i="1" s="1"/>
  <c r="M84" i="1" s="1"/>
  <c r="F85" i="1"/>
  <c r="G85" i="1" s="1"/>
  <c r="H85" i="1" s="1"/>
  <c r="I85" i="1" s="1"/>
  <c r="J85" i="1" s="1"/>
  <c r="K85" i="1" s="1"/>
  <c r="L85" i="1" s="1"/>
  <c r="M85" i="1" s="1"/>
  <c r="F77" i="1"/>
  <c r="G77" i="1" s="1"/>
  <c r="H77" i="1" s="1"/>
  <c r="I77" i="1" s="1"/>
  <c r="J77" i="1" s="1"/>
  <c r="K77" i="1" s="1"/>
  <c r="L77" i="1" s="1"/>
  <c r="M77" i="1" s="1"/>
  <c r="F87" i="1"/>
  <c r="G87" i="1" s="1"/>
  <c r="H87" i="1" s="1"/>
  <c r="I87" i="1" s="1"/>
  <c r="J87" i="1" s="1"/>
  <c r="K87" i="1" s="1"/>
  <c r="L87" i="1" s="1"/>
  <c r="M87" i="1" s="1"/>
  <c r="F75" i="1"/>
  <c r="G75" i="1" s="1"/>
  <c r="H75" i="1" s="1"/>
  <c r="I75" i="1" s="1"/>
  <c r="J75" i="1" s="1"/>
  <c r="K75" i="1" s="1"/>
  <c r="L75" i="1" s="1"/>
  <c r="M75" i="1" s="1"/>
  <c r="F76" i="1"/>
  <c r="G76" i="1" s="1"/>
  <c r="H76" i="1" s="1"/>
  <c r="I76" i="1" s="1"/>
  <c r="J76" i="1" s="1"/>
  <c r="K76" i="1" s="1"/>
  <c r="L76" i="1" s="1"/>
  <c r="M76" i="1" s="1"/>
  <c r="F74" i="1"/>
  <c r="G74" i="1" s="1"/>
  <c r="F79" i="1"/>
  <c r="G79" i="1" s="1"/>
  <c r="H79" i="1" s="1"/>
  <c r="I79" i="1" s="1"/>
  <c r="J79" i="1" s="1"/>
  <c r="K79" i="1" s="1"/>
  <c r="L79" i="1" s="1"/>
  <c r="M79" i="1" s="1"/>
  <c r="D67" i="1"/>
  <c r="D68" i="1" s="1"/>
  <c r="E59" i="14"/>
  <c r="E60" i="14" s="1"/>
  <c r="H5" i="2"/>
  <c r="P5" i="2" s="1"/>
  <c r="G9" i="2"/>
  <c r="G13" i="2" s="1"/>
  <c r="D61" i="14"/>
  <c r="D74" i="14" s="1"/>
  <c r="C16" i="14" s="1"/>
  <c r="M5" i="2" s="1"/>
  <c r="D81" i="16"/>
  <c r="C23" i="16" s="1"/>
  <c r="M4" i="2" s="1"/>
  <c r="D82" i="16"/>
  <c r="E87" i="16"/>
  <c r="F87" i="16" s="1"/>
  <c r="G87" i="16" s="1"/>
  <c r="H87" i="16" s="1"/>
  <c r="I87" i="16" s="1"/>
  <c r="J87" i="16" s="1"/>
  <c r="K87" i="16" s="1"/>
  <c r="L87" i="16" s="1"/>
  <c r="M87" i="16" s="1"/>
  <c r="E86" i="16"/>
  <c r="F86" i="16" s="1"/>
  <c r="G86" i="16" s="1"/>
  <c r="H86" i="16" s="1"/>
  <c r="I86" i="16" s="1"/>
  <c r="J86" i="16" s="1"/>
  <c r="K86" i="16" s="1"/>
  <c r="L86" i="16" s="1"/>
  <c r="M86" i="16" s="1"/>
  <c r="E85" i="16"/>
  <c r="F85" i="16" s="1"/>
  <c r="G85" i="16" s="1"/>
  <c r="H85" i="16" s="1"/>
  <c r="I85" i="16" s="1"/>
  <c r="J85" i="16" s="1"/>
  <c r="K85" i="16" s="1"/>
  <c r="L85" i="16" s="1"/>
  <c r="M85" i="16" s="1"/>
  <c r="E84" i="16"/>
  <c r="F84" i="16" s="1"/>
  <c r="G84" i="16" s="1"/>
  <c r="H84" i="16" s="1"/>
  <c r="I84" i="16" s="1"/>
  <c r="J84" i="16" s="1"/>
  <c r="K84" i="16" s="1"/>
  <c r="L84" i="16" s="1"/>
  <c r="M84" i="16" s="1"/>
  <c r="E83" i="16"/>
  <c r="F83" i="16" s="1"/>
  <c r="G83" i="16" s="1"/>
  <c r="H83" i="16" s="1"/>
  <c r="I83" i="16" s="1"/>
  <c r="J83" i="16" s="1"/>
  <c r="K83" i="16" s="1"/>
  <c r="L83" i="16" s="1"/>
  <c r="M83" i="16" s="1"/>
  <c r="E80" i="16"/>
  <c r="F80" i="16" s="1"/>
  <c r="G80" i="16" s="1"/>
  <c r="H80" i="16" s="1"/>
  <c r="I80" i="16" s="1"/>
  <c r="J80" i="16" s="1"/>
  <c r="K80" i="16" s="1"/>
  <c r="L80" i="16" s="1"/>
  <c r="M80" i="16" s="1"/>
  <c r="E79" i="16"/>
  <c r="F79" i="16" s="1"/>
  <c r="G79" i="16" s="1"/>
  <c r="H79" i="16" s="1"/>
  <c r="I79" i="16" s="1"/>
  <c r="J79" i="16" s="1"/>
  <c r="K79" i="16" s="1"/>
  <c r="L79" i="16" s="1"/>
  <c r="M79" i="16" s="1"/>
  <c r="E78" i="16"/>
  <c r="F78" i="16" s="1"/>
  <c r="G78" i="16" s="1"/>
  <c r="H78" i="16" s="1"/>
  <c r="I78" i="16" s="1"/>
  <c r="J78" i="16" s="1"/>
  <c r="K78" i="16" s="1"/>
  <c r="L78" i="16" s="1"/>
  <c r="M78" i="16" s="1"/>
  <c r="E77" i="16"/>
  <c r="F77" i="16" s="1"/>
  <c r="G77" i="16" s="1"/>
  <c r="H77" i="16" s="1"/>
  <c r="I77" i="16" s="1"/>
  <c r="J77" i="16" s="1"/>
  <c r="K77" i="16" s="1"/>
  <c r="L77" i="16" s="1"/>
  <c r="M77" i="16" s="1"/>
  <c r="E76" i="16"/>
  <c r="F76" i="16" s="1"/>
  <c r="G76" i="16" s="1"/>
  <c r="H76" i="16" s="1"/>
  <c r="I76" i="16" s="1"/>
  <c r="J76" i="16" s="1"/>
  <c r="K76" i="16" s="1"/>
  <c r="L76" i="16" s="1"/>
  <c r="M76" i="16" s="1"/>
  <c r="E75" i="16"/>
  <c r="F75" i="16" s="1"/>
  <c r="G75" i="16" s="1"/>
  <c r="H75" i="16" s="1"/>
  <c r="I75" i="16" s="1"/>
  <c r="J75" i="16" s="1"/>
  <c r="K75" i="16" s="1"/>
  <c r="L75" i="16" s="1"/>
  <c r="M75" i="16" s="1"/>
  <c r="E74" i="16"/>
  <c r="E58" i="16"/>
  <c r="D164" i="16"/>
  <c r="D165" i="16" s="1"/>
  <c r="M117" i="16"/>
  <c r="K117" i="16"/>
  <c r="I117" i="16"/>
  <c r="G117" i="16"/>
  <c r="E117" i="16"/>
  <c r="L117" i="16"/>
  <c r="J117" i="16"/>
  <c r="H117" i="16"/>
  <c r="F117" i="16"/>
  <c r="D117" i="16"/>
  <c r="E173" i="16"/>
  <c r="D176" i="16"/>
  <c r="E107" i="16"/>
  <c r="F107" i="16" s="1"/>
  <c r="G107" i="16" s="1"/>
  <c r="H107" i="16" s="1"/>
  <c r="I107" i="16" s="1"/>
  <c r="J107" i="16" s="1"/>
  <c r="K107" i="16" s="1"/>
  <c r="L107" i="16" s="1"/>
  <c r="M107" i="16" s="1"/>
  <c r="F145" i="16"/>
  <c r="E147" i="16"/>
  <c r="E173" i="15"/>
  <c r="D82" i="15"/>
  <c r="D81" i="15"/>
  <c r="C23" i="15" s="1"/>
  <c r="M7" i="2" s="1"/>
  <c r="E68" i="15"/>
  <c r="I57" i="15"/>
  <c r="H59" i="15" s="1"/>
  <c r="D107" i="15" s="1"/>
  <c r="E87" i="15"/>
  <c r="F87" i="15" s="1"/>
  <c r="G87" i="15" s="1"/>
  <c r="H87" i="15" s="1"/>
  <c r="I87" i="15" s="1"/>
  <c r="J87" i="15" s="1"/>
  <c r="K87" i="15" s="1"/>
  <c r="L87" i="15" s="1"/>
  <c r="M87" i="15" s="1"/>
  <c r="E86" i="15"/>
  <c r="F86" i="15" s="1"/>
  <c r="G86" i="15" s="1"/>
  <c r="H86" i="15" s="1"/>
  <c r="I86" i="15" s="1"/>
  <c r="J86" i="15" s="1"/>
  <c r="K86" i="15" s="1"/>
  <c r="L86" i="15" s="1"/>
  <c r="M86" i="15" s="1"/>
  <c r="E85" i="15"/>
  <c r="F85" i="15" s="1"/>
  <c r="G85" i="15" s="1"/>
  <c r="H85" i="15" s="1"/>
  <c r="I85" i="15" s="1"/>
  <c r="J85" i="15" s="1"/>
  <c r="K85" i="15" s="1"/>
  <c r="L85" i="15" s="1"/>
  <c r="M85" i="15" s="1"/>
  <c r="E84" i="15"/>
  <c r="F84" i="15" s="1"/>
  <c r="G84" i="15" s="1"/>
  <c r="H84" i="15" s="1"/>
  <c r="I84" i="15" s="1"/>
  <c r="J84" i="15" s="1"/>
  <c r="K84" i="15" s="1"/>
  <c r="L84" i="15" s="1"/>
  <c r="M84" i="15" s="1"/>
  <c r="E83" i="15"/>
  <c r="F83" i="15" s="1"/>
  <c r="G83" i="15" s="1"/>
  <c r="H83" i="15" s="1"/>
  <c r="I83" i="15" s="1"/>
  <c r="J83" i="15" s="1"/>
  <c r="K83" i="15" s="1"/>
  <c r="L83" i="15" s="1"/>
  <c r="M83" i="15" s="1"/>
  <c r="E80" i="15"/>
  <c r="F80" i="15" s="1"/>
  <c r="G80" i="15" s="1"/>
  <c r="H80" i="15" s="1"/>
  <c r="I80" i="15" s="1"/>
  <c r="J80" i="15" s="1"/>
  <c r="K80" i="15" s="1"/>
  <c r="L80" i="15" s="1"/>
  <c r="M80" i="15" s="1"/>
  <c r="E79" i="15"/>
  <c r="F79" i="15" s="1"/>
  <c r="G79" i="15" s="1"/>
  <c r="H79" i="15" s="1"/>
  <c r="I79" i="15" s="1"/>
  <c r="J79" i="15" s="1"/>
  <c r="K79" i="15" s="1"/>
  <c r="L79" i="15" s="1"/>
  <c r="M79" i="15" s="1"/>
  <c r="E78" i="15"/>
  <c r="F78" i="15" s="1"/>
  <c r="G78" i="15" s="1"/>
  <c r="H78" i="15" s="1"/>
  <c r="I78" i="15" s="1"/>
  <c r="J78" i="15" s="1"/>
  <c r="K78" i="15" s="1"/>
  <c r="L78" i="15" s="1"/>
  <c r="M78" i="15" s="1"/>
  <c r="E77" i="15"/>
  <c r="F77" i="15" s="1"/>
  <c r="G77" i="15" s="1"/>
  <c r="H77" i="15" s="1"/>
  <c r="I77" i="15" s="1"/>
  <c r="J77" i="15" s="1"/>
  <c r="K77" i="15" s="1"/>
  <c r="L77" i="15" s="1"/>
  <c r="M77" i="15" s="1"/>
  <c r="E76" i="15"/>
  <c r="F76" i="15" s="1"/>
  <c r="G76" i="15" s="1"/>
  <c r="H76" i="15" s="1"/>
  <c r="I76" i="15" s="1"/>
  <c r="J76" i="15" s="1"/>
  <c r="K76" i="15" s="1"/>
  <c r="L76" i="15" s="1"/>
  <c r="M76" i="15" s="1"/>
  <c r="E75" i="15"/>
  <c r="F75" i="15" s="1"/>
  <c r="G75" i="15" s="1"/>
  <c r="H75" i="15" s="1"/>
  <c r="I75" i="15" s="1"/>
  <c r="J75" i="15" s="1"/>
  <c r="K75" i="15" s="1"/>
  <c r="L75" i="15" s="1"/>
  <c r="M75" i="15" s="1"/>
  <c r="E74" i="15"/>
  <c r="D164" i="15"/>
  <c r="D165" i="15" s="1"/>
  <c r="M117" i="15"/>
  <c r="K117" i="15"/>
  <c r="I117" i="15"/>
  <c r="G117" i="15"/>
  <c r="E117" i="15"/>
  <c r="L117" i="15"/>
  <c r="J117" i="15"/>
  <c r="H117" i="15"/>
  <c r="F117" i="15"/>
  <c r="D117" i="15"/>
  <c r="F145" i="15"/>
  <c r="E147" i="15"/>
  <c r="D138" i="14"/>
  <c r="B51" i="14"/>
  <c r="D169" i="14"/>
  <c r="E100" i="14"/>
  <c r="F100" i="14" s="1"/>
  <c r="G100" i="14" s="1"/>
  <c r="H100" i="14" s="1"/>
  <c r="I100" i="14" s="1"/>
  <c r="J100" i="14" s="1"/>
  <c r="K100" i="14" s="1"/>
  <c r="L100" i="14" s="1"/>
  <c r="M100" i="14" s="1"/>
  <c r="D166" i="14"/>
  <c r="D123" i="14"/>
  <c r="D134" i="14" s="1"/>
  <c r="D152" i="14" s="1"/>
  <c r="D178" i="14"/>
  <c r="D168" i="14"/>
  <c r="D188" i="14" s="1"/>
  <c r="E80" i="14"/>
  <c r="F80" i="14" s="1"/>
  <c r="G80" i="14" s="1"/>
  <c r="H80" i="14" s="1"/>
  <c r="I80" i="14" s="1"/>
  <c r="J80" i="14" s="1"/>
  <c r="K80" i="14" s="1"/>
  <c r="L80" i="14" s="1"/>
  <c r="M80" i="14" s="1"/>
  <c r="E79" i="14"/>
  <c r="F79" i="14" s="1"/>
  <c r="G79" i="14" s="1"/>
  <c r="H79" i="14" s="1"/>
  <c r="I79" i="14" s="1"/>
  <c r="J79" i="14" s="1"/>
  <c r="K79" i="14" s="1"/>
  <c r="L79" i="14" s="1"/>
  <c r="M79" i="14" s="1"/>
  <c r="E78" i="14"/>
  <c r="F78" i="14" s="1"/>
  <c r="G78" i="14" s="1"/>
  <c r="H78" i="14" s="1"/>
  <c r="I78" i="14" s="1"/>
  <c r="J78" i="14" s="1"/>
  <c r="K78" i="14" s="1"/>
  <c r="L78" i="14" s="1"/>
  <c r="M78" i="14" s="1"/>
  <c r="E77" i="14"/>
  <c r="E76" i="14"/>
  <c r="F76" i="14" s="1"/>
  <c r="G76" i="14" s="1"/>
  <c r="H76" i="14" s="1"/>
  <c r="I76" i="14" s="1"/>
  <c r="J76" i="14" s="1"/>
  <c r="K76" i="14" s="1"/>
  <c r="L76" i="14" s="1"/>
  <c r="M76" i="14" s="1"/>
  <c r="E73" i="14"/>
  <c r="F73" i="14" s="1"/>
  <c r="G73" i="14" s="1"/>
  <c r="H73" i="14" s="1"/>
  <c r="I73" i="14" s="1"/>
  <c r="J73" i="14" s="1"/>
  <c r="K73" i="14" s="1"/>
  <c r="L73" i="14" s="1"/>
  <c r="M73" i="14" s="1"/>
  <c r="E72" i="14"/>
  <c r="F72" i="14" s="1"/>
  <c r="G72" i="14" s="1"/>
  <c r="H72" i="14" s="1"/>
  <c r="I72" i="14" s="1"/>
  <c r="J72" i="14" s="1"/>
  <c r="K72" i="14" s="1"/>
  <c r="L72" i="14" s="1"/>
  <c r="M72" i="14" s="1"/>
  <c r="E71" i="14"/>
  <c r="F71" i="14" s="1"/>
  <c r="G71" i="14" s="1"/>
  <c r="H71" i="14" s="1"/>
  <c r="I71" i="14" s="1"/>
  <c r="J71" i="14" s="1"/>
  <c r="K71" i="14" s="1"/>
  <c r="L71" i="14" s="1"/>
  <c r="M71" i="14" s="1"/>
  <c r="E70" i="14"/>
  <c r="F70" i="14" s="1"/>
  <c r="G70" i="14" s="1"/>
  <c r="H70" i="14" s="1"/>
  <c r="I70" i="14" s="1"/>
  <c r="J70" i="14" s="1"/>
  <c r="K70" i="14" s="1"/>
  <c r="L70" i="14" s="1"/>
  <c r="M70" i="14" s="1"/>
  <c r="E69" i="14"/>
  <c r="F69" i="14" s="1"/>
  <c r="G69" i="14" s="1"/>
  <c r="H69" i="14" s="1"/>
  <c r="I69" i="14" s="1"/>
  <c r="J69" i="14" s="1"/>
  <c r="K69" i="14" s="1"/>
  <c r="L69" i="14" s="1"/>
  <c r="M69" i="14" s="1"/>
  <c r="E68" i="14"/>
  <c r="F68" i="14" s="1"/>
  <c r="G68" i="14" s="1"/>
  <c r="H68" i="14" s="1"/>
  <c r="I68" i="14" s="1"/>
  <c r="J68" i="14" s="1"/>
  <c r="K68" i="14" s="1"/>
  <c r="L68" i="14" s="1"/>
  <c r="M68" i="14" s="1"/>
  <c r="E67" i="14"/>
  <c r="F67" i="14" s="1"/>
  <c r="F77" i="14"/>
  <c r="G77" i="14" s="1"/>
  <c r="H77" i="14" s="1"/>
  <c r="I77" i="14" s="1"/>
  <c r="J77" i="14" s="1"/>
  <c r="K77" i="14" s="1"/>
  <c r="L77" i="14" s="1"/>
  <c r="M77" i="14" s="1"/>
  <c r="D116" i="1"/>
  <c r="E58" i="1"/>
  <c r="E176" i="1"/>
  <c r="E147" i="1"/>
  <c r="F145" i="1"/>
  <c r="H74" i="1"/>
  <c r="D173" i="14" l="1"/>
  <c r="D181" i="1"/>
  <c r="D182" i="1" s="1"/>
  <c r="F66" i="16"/>
  <c r="G66" i="16" s="1"/>
  <c r="G67" i="16" s="1"/>
  <c r="G68" i="16" s="1"/>
  <c r="E119" i="15"/>
  <c r="E120" i="15" s="1"/>
  <c r="E196" i="15" s="1"/>
  <c r="D180" i="15"/>
  <c r="G66" i="1"/>
  <c r="G67" i="1" s="1"/>
  <c r="G68" i="1" s="1"/>
  <c r="D130" i="15"/>
  <c r="D141" i="15" s="1"/>
  <c r="D159" i="15" s="1"/>
  <c r="E163" i="1"/>
  <c r="G66" i="15"/>
  <c r="G67" i="15" s="1"/>
  <c r="G68" i="15" s="1"/>
  <c r="L119" i="15"/>
  <c r="L120" i="15" s="1"/>
  <c r="D185" i="16"/>
  <c r="D194" i="16" s="1"/>
  <c r="D130" i="16"/>
  <c r="D141" i="16" s="1"/>
  <c r="D159" i="16" s="1"/>
  <c r="E128" i="16"/>
  <c r="D175" i="16"/>
  <c r="D195" i="16" s="1"/>
  <c r="G119" i="15"/>
  <c r="G120" i="15" s="1"/>
  <c r="E128" i="15"/>
  <c r="E163" i="15" s="1"/>
  <c r="E59" i="15"/>
  <c r="L99" i="15" s="1"/>
  <c r="I119" i="15"/>
  <c r="I120" i="15" s="1"/>
  <c r="D175" i="15"/>
  <c r="D195" i="15" s="1"/>
  <c r="D119" i="15"/>
  <c r="D120" i="15" s="1"/>
  <c r="K119" i="15"/>
  <c r="K120" i="15" s="1"/>
  <c r="E67" i="1"/>
  <c r="E68" i="1" s="1"/>
  <c r="E82" i="1" s="1"/>
  <c r="F119" i="15"/>
  <c r="F120" i="15" s="1"/>
  <c r="M119" i="15"/>
  <c r="M120" i="15" s="1"/>
  <c r="M196" i="15" s="1"/>
  <c r="H119" i="15"/>
  <c r="H120" i="15" s="1"/>
  <c r="H196" i="15" s="1"/>
  <c r="J120" i="15"/>
  <c r="J196" i="15" s="1"/>
  <c r="D177" i="1"/>
  <c r="D186" i="1" s="1"/>
  <c r="D187" i="1" s="1"/>
  <c r="D190" i="1" s="1"/>
  <c r="D82" i="1"/>
  <c r="D81" i="1"/>
  <c r="C23" i="1" s="1"/>
  <c r="M6" i="2" s="1"/>
  <c r="F59" i="14"/>
  <c r="G59" i="14" s="1"/>
  <c r="H59" i="14" s="1"/>
  <c r="H60" i="14" s="1"/>
  <c r="H61" i="14" s="1"/>
  <c r="E61" i="14"/>
  <c r="E74" i="14" s="1"/>
  <c r="D75" i="14"/>
  <c r="H9" i="2"/>
  <c r="F82" i="1"/>
  <c r="F81" i="1"/>
  <c r="E130" i="1"/>
  <c r="E141" i="1" s="1"/>
  <c r="E159" i="1" s="1"/>
  <c r="F128" i="1"/>
  <c r="E180" i="1"/>
  <c r="E175" i="1"/>
  <c r="E177" i="1" s="1"/>
  <c r="E186" i="1" s="1"/>
  <c r="E185" i="1"/>
  <c r="E194" i="1" s="1"/>
  <c r="E176" i="16"/>
  <c r="F176" i="16" s="1"/>
  <c r="E81" i="16"/>
  <c r="E82" i="16"/>
  <c r="F147" i="16"/>
  <c r="G145" i="16"/>
  <c r="M119" i="16"/>
  <c r="M120" i="16" s="1"/>
  <c r="M196" i="16" s="1"/>
  <c r="K119" i="16"/>
  <c r="K120" i="16" s="1"/>
  <c r="I119" i="16"/>
  <c r="I120" i="16" s="1"/>
  <c r="G119" i="16"/>
  <c r="G120" i="16" s="1"/>
  <c r="E119" i="16"/>
  <c r="E120" i="16" s="1"/>
  <c r="L119" i="16"/>
  <c r="L120" i="16" s="1"/>
  <c r="J119" i="16"/>
  <c r="J120" i="16" s="1"/>
  <c r="H119" i="16"/>
  <c r="H120" i="16" s="1"/>
  <c r="F119" i="16"/>
  <c r="F120" i="16" s="1"/>
  <c r="D119" i="16"/>
  <c r="D120" i="16" s="1"/>
  <c r="E59" i="16"/>
  <c r="F74" i="16"/>
  <c r="F173" i="16"/>
  <c r="D88" i="16"/>
  <c r="F82" i="15"/>
  <c r="F81" i="15"/>
  <c r="F173" i="15"/>
  <c r="F74" i="15"/>
  <c r="F147" i="15"/>
  <c r="G145" i="15"/>
  <c r="D194" i="15"/>
  <c r="D176" i="15"/>
  <c r="E107" i="15"/>
  <c r="F107" i="15" s="1"/>
  <c r="G107" i="15" s="1"/>
  <c r="H107" i="15" s="1"/>
  <c r="I107" i="15" s="1"/>
  <c r="J107" i="15" s="1"/>
  <c r="K107" i="15" s="1"/>
  <c r="L107" i="15" s="1"/>
  <c r="M107" i="15" s="1"/>
  <c r="E82" i="15"/>
  <c r="E81" i="15"/>
  <c r="D88" i="15"/>
  <c r="E138" i="14"/>
  <c r="D140" i="14"/>
  <c r="E169" i="14"/>
  <c r="F169" i="14" s="1"/>
  <c r="D109" i="14"/>
  <c r="E51" i="14"/>
  <c r="E122" i="14"/>
  <c r="G67" i="14"/>
  <c r="D187" i="14"/>
  <c r="D174" i="14"/>
  <c r="D175" i="14" s="1"/>
  <c r="D170" i="14"/>
  <c r="D179" i="14" s="1"/>
  <c r="D180" i="14" s="1"/>
  <c r="D183" i="14" s="1"/>
  <c r="E166" i="14"/>
  <c r="E117" i="1"/>
  <c r="J117" i="1"/>
  <c r="H117" i="1"/>
  <c r="M117" i="1"/>
  <c r="K117" i="1"/>
  <c r="G117" i="1"/>
  <c r="F117" i="1"/>
  <c r="D117" i="1"/>
  <c r="L117" i="1"/>
  <c r="D164" i="1"/>
  <c r="D165" i="1" s="1"/>
  <c r="I117" i="1"/>
  <c r="G119" i="1"/>
  <c r="K119" i="1"/>
  <c r="H119" i="1"/>
  <c r="F119" i="1"/>
  <c r="L119" i="1"/>
  <c r="I119" i="1"/>
  <c r="D119" i="1"/>
  <c r="E119" i="1"/>
  <c r="J119" i="1"/>
  <c r="M119" i="1"/>
  <c r="E59" i="1"/>
  <c r="F176" i="1"/>
  <c r="I173" i="1"/>
  <c r="F147" i="1"/>
  <c r="G145" i="1"/>
  <c r="I74" i="1"/>
  <c r="D177" i="16" l="1"/>
  <c r="D186" i="16" s="1"/>
  <c r="D187" i="16" s="1"/>
  <c r="D190" i="16" s="1"/>
  <c r="H66" i="16"/>
  <c r="I66" i="16" s="1"/>
  <c r="F67" i="16"/>
  <c r="F68" i="16" s="1"/>
  <c r="F82" i="16" s="1"/>
  <c r="M9" i="2"/>
  <c r="F120" i="1"/>
  <c r="G116" i="1" s="1"/>
  <c r="I99" i="15"/>
  <c r="I218" i="15" s="1"/>
  <c r="E81" i="1"/>
  <c r="E88" i="1" s="1"/>
  <c r="E89" i="1" s="1"/>
  <c r="E99" i="15"/>
  <c r="E218" i="15" s="1"/>
  <c r="G99" i="15"/>
  <c r="G218" i="15" s="1"/>
  <c r="H66" i="1"/>
  <c r="H67" i="1" s="1"/>
  <c r="H68" i="1" s="1"/>
  <c r="K99" i="15"/>
  <c r="K218" i="15" s="1"/>
  <c r="F99" i="15"/>
  <c r="F218" i="15" s="1"/>
  <c r="M99" i="15"/>
  <c r="M218" i="15" s="1"/>
  <c r="H99" i="15"/>
  <c r="H218" i="15" s="1"/>
  <c r="D99" i="15"/>
  <c r="D218" i="15" s="1"/>
  <c r="E7" i="2" s="1"/>
  <c r="J99" i="15"/>
  <c r="J218" i="15" s="1"/>
  <c r="D120" i="1"/>
  <c r="D196" i="1" s="1"/>
  <c r="D197" i="1" s="1"/>
  <c r="D199" i="1" s="1"/>
  <c r="H66" i="15"/>
  <c r="H67" i="15" s="1"/>
  <c r="H68" i="15" s="1"/>
  <c r="E88" i="16"/>
  <c r="E89" i="16" s="1"/>
  <c r="K196" i="15"/>
  <c r="L116" i="15"/>
  <c r="L164" i="15" s="1"/>
  <c r="I196" i="15"/>
  <c r="J116" i="15"/>
  <c r="J121" i="15" s="1"/>
  <c r="J140" i="15" s="1"/>
  <c r="J158" i="15" s="1"/>
  <c r="F116" i="15"/>
  <c r="F121" i="15" s="1"/>
  <c r="L196" i="15"/>
  <c r="M116" i="15"/>
  <c r="M121" i="15" s="1"/>
  <c r="M140" i="15" s="1"/>
  <c r="M158" i="15" s="1"/>
  <c r="E187" i="1"/>
  <c r="E190" i="1" s="1"/>
  <c r="D181" i="16"/>
  <c r="D182" i="16" s="1"/>
  <c r="E163" i="16"/>
  <c r="E129" i="16"/>
  <c r="D196" i="15"/>
  <c r="D197" i="15" s="1"/>
  <c r="D199" i="15" s="1"/>
  <c r="E116" i="15"/>
  <c r="E121" i="15" s="1"/>
  <c r="E140" i="15" s="1"/>
  <c r="E158" i="15" s="1"/>
  <c r="D121" i="15"/>
  <c r="D140" i="15" s="1"/>
  <c r="D158" i="15" s="1"/>
  <c r="H116" i="15"/>
  <c r="H121" i="15" s="1"/>
  <c r="H140" i="15" s="1"/>
  <c r="H158" i="15" s="1"/>
  <c r="G196" i="15"/>
  <c r="F196" i="15"/>
  <c r="G116" i="15"/>
  <c r="G121" i="15" s="1"/>
  <c r="G140" i="15" s="1"/>
  <c r="G158" i="15" s="1"/>
  <c r="D181" i="15"/>
  <c r="D182" i="15" s="1"/>
  <c r="E88" i="15"/>
  <c r="E92" i="15" s="1"/>
  <c r="K116" i="15"/>
  <c r="K121" i="15" s="1"/>
  <c r="K140" i="15" s="1"/>
  <c r="K158" i="15" s="1"/>
  <c r="D177" i="15"/>
  <c r="D186" i="15" s="1"/>
  <c r="D187" i="15" s="1"/>
  <c r="D190" i="15" s="1"/>
  <c r="I116" i="15"/>
  <c r="I121" i="15" s="1"/>
  <c r="E129" i="15"/>
  <c r="E180" i="15" s="1"/>
  <c r="F88" i="1"/>
  <c r="F92" i="1" s="1"/>
  <c r="D88" i="1"/>
  <c r="E75" i="14"/>
  <c r="E81" i="14" s="1"/>
  <c r="E82" i="14" s="1"/>
  <c r="D81" i="14"/>
  <c r="D85" i="14" s="1"/>
  <c r="C14" i="14" s="1"/>
  <c r="G60" i="14"/>
  <c r="G61" i="14" s="1"/>
  <c r="G75" i="14" s="1"/>
  <c r="F60" i="14"/>
  <c r="F61" i="14" s="1"/>
  <c r="I59" i="14"/>
  <c r="J59" i="14" s="1"/>
  <c r="I120" i="1"/>
  <c r="I196" i="1" s="1"/>
  <c r="H120" i="1"/>
  <c r="H196" i="1" s="1"/>
  <c r="K120" i="1"/>
  <c r="K196" i="1" s="1"/>
  <c r="M120" i="1"/>
  <c r="M196" i="1" s="1"/>
  <c r="L120" i="1"/>
  <c r="L196" i="1" s="1"/>
  <c r="G82" i="1"/>
  <c r="G81" i="1"/>
  <c r="E195" i="1"/>
  <c r="E181" i="1"/>
  <c r="E182" i="1" s="1"/>
  <c r="E191" i="1" s="1"/>
  <c r="E198" i="1" s="1"/>
  <c r="F129" i="1"/>
  <c r="F163" i="1"/>
  <c r="E176" i="15"/>
  <c r="F176" i="15" s="1"/>
  <c r="G82" i="16"/>
  <c r="G81" i="16"/>
  <c r="K196" i="16"/>
  <c r="L116" i="16"/>
  <c r="J196" i="16"/>
  <c r="K116" i="16"/>
  <c r="I196" i="16"/>
  <c r="J116" i="16"/>
  <c r="L196" i="16"/>
  <c r="M116" i="16"/>
  <c r="D196" i="16"/>
  <c r="D197" i="16" s="1"/>
  <c r="D199" i="16" s="1"/>
  <c r="E116" i="16"/>
  <c r="D121" i="16"/>
  <c r="D140" i="16" s="1"/>
  <c r="D158" i="16" s="1"/>
  <c r="G176" i="16"/>
  <c r="H145" i="16"/>
  <c r="G147" i="16"/>
  <c r="G196" i="16"/>
  <c r="H116" i="16"/>
  <c r="F196" i="16"/>
  <c r="G116" i="16"/>
  <c r="D89" i="16"/>
  <c r="D92" i="16"/>
  <c r="C21" i="16" s="1"/>
  <c r="G173" i="16"/>
  <c r="G74" i="16"/>
  <c r="E196" i="16"/>
  <c r="F116" i="16"/>
  <c r="H196" i="16"/>
  <c r="I116" i="16"/>
  <c r="L99" i="16"/>
  <c r="J99" i="16"/>
  <c r="H99" i="16"/>
  <c r="F99" i="16"/>
  <c r="D99" i="16"/>
  <c r="M99" i="16"/>
  <c r="K99" i="16"/>
  <c r="I99" i="16"/>
  <c r="G99" i="16"/>
  <c r="E99" i="16"/>
  <c r="G81" i="15"/>
  <c r="G82" i="15"/>
  <c r="D89" i="15"/>
  <c r="D92" i="15"/>
  <c r="C21" i="15" s="1"/>
  <c r="F88" i="15"/>
  <c r="G74" i="15"/>
  <c r="L218" i="15"/>
  <c r="H145" i="15"/>
  <c r="G147" i="15"/>
  <c r="G173" i="15"/>
  <c r="K112" i="14"/>
  <c r="G112" i="14"/>
  <c r="L112" i="14"/>
  <c r="H112" i="14"/>
  <c r="D112" i="14"/>
  <c r="M112" i="14"/>
  <c r="I112" i="14"/>
  <c r="E112" i="14"/>
  <c r="J112" i="14"/>
  <c r="F112" i="14"/>
  <c r="E52" i="14"/>
  <c r="F138" i="14"/>
  <c r="E140" i="14"/>
  <c r="D157" i="14"/>
  <c r="D158" i="14" s="1"/>
  <c r="K110" i="14"/>
  <c r="G110" i="14"/>
  <c r="L110" i="14"/>
  <c r="H110" i="14"/>
  <c r="D110" i="14"/>
  <c r="M110" i="14"/>
  <c r="I110" i="14"/>
  <c r="E110" i="14"/>
  <c r="J110" i="14"/>
  <c r="F110" i="14"/>
  <c r="H74" i="14"/>
  <c r="H75" i="14"/>
  <c r="F166" i="14"/>
  <c r="E178" i="14"/>
  <c r="E173" i="14"/>
  <c r="F121" i="14"/>
  <c r="E123" i="14"/>
  <c r="E134" i="14" s="1"/>
  <c r="E152" i="14" s="1"/>
  <c r="E168" i="14"/>
  <c r="E188" i="14" s="1"/>
  <c r="H67" i="14"/>
  <c r="G169" i="14"/>
  <c r="G99" i="1"/>
  <c r="G218" i="1" s="1"/>
  <c r="F99" i="1"/>
  <c r="H99" i="1"/>
  <c r="I99" i="1"/>
  <c r="J99" i="1"/>
  <c r="J218" i="1" s="1"/>
  <c r="L99" i="1"/>
  <c r="E99" i="1"/>
  <c r="D99" i="1"/>
  <c r="K99" i="1"/>
  <c r="M99" i="1"/>
  <c r="M218" i="1" s="1"/>
  <c r="E120" i="1"/>
  <c r="G120" i="1"/>
  <c r="J120" i="1"/>
  <c r="G176" i="1"/>
  <c r="G147" i="1"/>
  <c r="H145" i="1"/>
  <c r="J173" i="1"/>
  <c r="J74" i="1"/>
  <c r="H67" i="16" l="1"/>
  <c r="H68" i="16" s="1"/>
  <c r="H82" i="16" s="1"/>
  <c r="F81" i="16"/>
  <c r="F88" i="16" s="1"/>
  <c r="F89" i="16" s="1"/>
  <c r="I66" i="1"/>
  <c r="I67" i="1" s="1"/>
  <c r="I68" i="1" s="1"/>
  <c r="F196" i="1"/>
  <c r="D121" i="1"/>
  <c r="D140" i="1" s="1"/>
  <c r="D158" i="1" s="1"/>
  <c r="E116" i="1"/>
  <c r="E164" i="1" s="1"/>
  <c r="E165" i="1" s="1"/>
  <c r="J164" i="15"/>
  <c r="E89" i="15"/>
  <c r="L121" i="15"/>
  <c r="L140" i="15" s="1"/>
  <c r="L158" i="15" s="1"/>
  <c r="F164" i="15"/>
  <c r="I66" i="15"/>
  <c r="I67" i="15" s="1"/>
  <c r="I68" i="15" s="1"/>
  <c r="E92" i="16"/>
  <c r="E217" i="16" s="1"/>
  <c r="E130" i="15"/>
  <c r="E141" i="15" s="1"/>
  <c r="E159" i="15" s="1"/>
  <c r="E185" i="15"/>
  <c r="E194" i="15" s="1"/>
  <c r="E164" i="15"/>
  <c r="E165" i="15" s="1"/>
  <c r="D106" i="15"/>
  <c r="H164" i="15"/>
  <c r="F140" i="15"/>
  <c r="F158" i="15" s="1"/>
  <c r="F106" i="15"/>
  <c r="G164" i="15"/>
  <c r="M164" i="15"/>
  <c r="K164" i="15"/>
  <c r="E175" i="15"/>
  <c r="E181" i="15" s="1"/>
  <c r="E182" i="15" s="1"/>
  <c r="E191" i="15" s="1"/>
  <c r="E198" i="15" s="1"/>
  <c r="F128" i="15"/>
  <c r="F163" i="15" s="1"/>
  <c r="E130" i="16"/>
  <c r="E141" i="16" s="1"/>
  <c r="E159" i="16" s="1"/>
  <c r="E175" i="16"/>
  <c r="E185" i="16"/>
  <c r="F128" i="16"/>
  <c r="E180" i="16"/>
  <c r="E92" i="1"/>
  <c r="E105" i="1" s="1"/>
  <c r="J113" i="14"/>
  <c r="K109" i="14" s="1"/>
  <c r="K113" i="14"/>
  <c r="K189" i="14" s="1"/>
  <c r="I140" i="15"/>
  <c r="I158" i="15" s="1"/>
  <c r="I106" i="15"/>
  <c r="D113" i="14"/>
  <c r="D114" i="14" s="1"/>
  <c r="D133" i="14" s="1"/>
  <c r="D151" i="14" s="1"/>
  <c r="I164" i="15"/>
  <c r="M113" i="14"/>
  <c r="M189" i="14" s="1"/>
  <c r="H113" i="14"/>
  <c r="I109" i="14" s="1"/>
  <c r="J116" i="1"/>
  <c r="J121" i="1" s="1"/>
  <c r="L113" i="14"/>
  <c r="M109" i="14" s="1"/>
  <c r="G113" i="14"/>
  <c r="G189" i="14" s="1"/>
  <c r="J106" i="15"/>
  <c r="F113" i="14"/>
  <c r="G109" i="14" s="1"/>
  <c r="F89" i="1"/>
  <c r="G88" i="1"/>
  <c r="G89" i="1" s="1"/>
  <c r="D92" i="1"/>
  <c r="C21" i="1" s="1"/>
  <c r="D89" i="1"/>
  <c r="E113" i="14"/>
  <c r="F109" i="14" s="1"/>
  <c r="I113" i="14"/>
  <c r="I189" i="14" s="1"/>
  <c r="D82" i="14"/>
  <c r="F74" i="14"/>
  <c r="F75" i="14"/>
  <c r="E85" i="14"/>
  <c r="E98" i="14" s="1"/>
  <c r="G74" i="14"/>
  <c r="G81" i="14" s="1"/>
  <c r="G82" i="14" s="1"/>
  <c r="I60" i="14"/>
  <c r="I61" i="14" s="1"/>
  <c r="I75" i="14" s="1"/>
  <c r="E106" i="15"/>
  <c r="M106" i="15"/>
  <c r="L116" i="1"/>
  <c r="L164" i="1" s="1"/>
  <c r="I116" i="1"/>
  <c r="I121" i="1" s="1"/>
  <c r="I140" i="1" s="1"/>
  <c r="I158" i="1" s="1"/>
  <c r="M116" i="1"/>
  <c r="M164" i="1" s="1"/>
  <c r="H81" i="1"/>
  <c r="H82" i="1"/>
  <c r="F217" i="1"/>
  <c r="F105" i="1"/>
  <c r="F98" i="1"/>
  <c r="F100" i="1" s="1"/>
  <c r="F138" i="1" s="1"/>
  <c r="F156" i="1" s="1"/>
  <c r="F185" i="1"/>
  <c r="F194" i="1" s="1"/>
  <c r="F175" i="1"/>
  <c r="F130" i="1"/>
  <c r="F141" i="1" s="1"/>
  <c r="F159" i="1" s="1"/>
  <c r="G128" i="1"/>
  <c r="F180" i="1"/>
  <c r="K106" i="15"/>
  <c r="G218" i="16"/>
  <c r="K218" i="16"/>
  <c r="D218" i="16"/>
  <c r="E4" i="2" s="1"/>
  <c r="D106" i="16"/>
  <c r="H218" i="16"/>
  <c r="L218" i="16"/>
  <c r="H173" i="16"/>
  <c r="H147" i="16"/>
  <c r="I145" i="16"/>
  <c r="E121" i="16"/>
  <c r="E140" i="16" s="1"/>
  <c r="E158" i="16" s="1"/>
  <c r="E164" i="16"/>
  <c r="E165" i="16" s="1"/>
  <c r="M121" i="16"/>
  <c r="M140" i="16" s="1"/>
  <c r="M158" i="16" s="1"/>
  <c r="M164" i="16"/>
  <c r="J164" i="16"/>
  <c r="J121" i="16"/>
  <c r="J140" i="16" s="1"/>
  <c r="J158" i="16" s="1"/>
  <c r="K121" i="16"/>
  <c r="K140" i="16" s="1"/>
  <c r="K158" i="16" s="1"/>
  <c r="K164" i="16"/>
  <c r="L164" i="16"/>
  <c r="L121" i="16"/>
  <c r="L140" i="16" s="1"/>
  <c r="L158" i="16" s="1"/>
  <c r="E218" i="16"/>
  <c r="I218" i="16"/>
  <c r="M218" i="16"/>
  <c r="F218" i="16"/>
  <c r="J218" i="16"/>
  <c r="I121" i="16"/>
  <c r="I140" i="16" s="1"/>
  <c r="I158" i="16" s="1"/>
  <c r="I164" i="16"/>
  <c r="F164" i="16"/>
  <c r="F121" i="16"/>
  <c r="F140" i="16" s="1"/>
  <c r="F158" i="16" s="1"/>
  <c r="G88" i="16"/>
  <c r="H74" i="16"/>
  <c r="D217" i="16"/>
  <c r="D98" i="16"/>
  <c r="D100" i="16" s="1"/>
  <c r="D105" i="16"/>
  <c r="G121" i="16"/>
  <c r="G140" i="16" s="1"/>
  <c r="G158" i="16" s="1"/>
  <c r="G164" i="16"/>
  <c r="H164" i="16"/>
  <c r="H121" i="16"/>
  <c r="H140" i="16" s="1"/>
  <c r="H158" i="16" s="1"/>
  <c r="I67" i="16"/>
  <c r="I68" i="16" s="1"/>
  <c r="J66" i="16"/>
  <c r="H176" i="16"/>
  <c r="H82" i="15"/>
  <c r="H81" i="15"/>
  <c r="F89" i="15"/>
  <c r="F92" i="15"/>
  <c r="E217" i="15"/>
  <c r="E219" i="15" s="1"/>
  <c r="E98" i="15"/>
  <c r="E100" i="15" s="1"/>
  <c r="E105" i="15"/>
  <c r="G106" i="15"/>
  <c r="H106" i="15"/>
  <c r="H173" i="15"/>
  <c r="H147" i="15"/>
  <c r="I145" i="15"/>
  <c r="G88" i="15"/>
  <c r="H74" i="15"/>
  <c r="G176" i="15"/>
  <c r="D217" i="15"/>
  <c r="D105" i="15"/>
  <c r="D98" i="15"/>
  <c r="D100" i="15" s="1"/>
  <c r="K92" i="14"/>
  <c r="K211" i="14" s="1"/>
  <c r="G92" i="14"/>
  <c r="G211" i="14" s="1"/>
  <c r="L92" i="14"/>
  <c r="L211" i="14" s="1"/>
  <c r="H92" i="14"/>
  <c r="H211" i="14" s="1"/>
  <c r="D92" i="14"/>
  <c r="M92" i="14"/>
  <c r="I92" i="14"/>
  <c r="E92" i="14"/>
  <c r="J92" i="14"/>
  <c r="F92" i="14"/>
  <c r="G138" i="14"/>
  <c r="F140" i="14"/>
  <c r="H169" i="14"/>
  <c r="H81" i="14"/>
  <c r="I67" i="14"/>
  <c r="J60" i="14"/>
  <c r="J61" i="14" s="1"/>
  <c r="K59" i="14"/>
  <c r="G166" i="14"/>
  <c r="E174" i="14"/>
  <c r="E175" i="14" s="1"/>
  <c r="E184" i="14" s="1"/>
  <c r="E191" i="14" s="1"/>
  <c r="F156" i="14"/>
  <c r="F122" i="14"/>
  <c r="E187" i="14"/>
  <c r="D210" i="14"/>
  <c r="I5" i="2" s="1"/>
  <c r="D98" i="14"/>
  <c r="D91" i="14"/>
  <c r="E170" i="14"/>
  <c r="E179" i="14" s="1"/>
  <c r="E180" i="14" s="1"/>
  <c r="E183" i="14" s="1"/>
  <c r="G196" i="1"/>
  <c r="H116" i="1"/>
  <c r="G121" i="1"/>
  <c r="G164" i="1"/>
  <c r="K218" i="1"/>
  <c r="E218" i="1"/>
  <c r="H218" i="1"/>
  <c r="J196" i="1"/>
  <c r="K116" i="1"/>
  <c r="F116" i="1"/>
  <c r="E196" i="1"/>
  <c r="E197" i="1" s="1"/>
  <c r="E199" i="1" s="1"/>
  <c r="D218" i="1"/>
  <c r="L218" i="1"/>
  <c r="I218" i="1"/>
  <c r="F218" i="1"/>
  <c r="I145" i="1"/>
  <c r="H147" i="1"/>
  <c r="H176" i="1"/>
  <c r="K173" i="1"/>
  <c r="K74" i="1"/>
  <c r="L106" i="15" l="1"/>
  <c r="E121" i="1"/>
  <c r="E140" i="1" s="1"/>
  <c r="E158" i="1" s="1"/>
  <c r="H81" i="16"/>
  <c r="J66" i="1"/>
  <c r="K66" i="1" s="1"/>
  <c r="O5" i="2"/>
  <c r="E177" i="15"/>
  <c r="E186" i="15" s="1"/>
  <c r="E187" i="15" s="1"/>
  <c r="E190" i="15" s="1"/>
  <c r="F129" i="15"/>
  <c r="F185" i="15" s="1"/>
  <c r="D106" i="1"/>
  <c r="L109" i="14"/>
  <c r="L114" i="14" s="1"/>
  <c r="J189" i="14"/>
  <c r="I164" i="1"/>
  <c r="D108" i="16"/>
  <c r="D110" i="16" s="1"/>
  <c r="D139" i="16" s="1"/>
  <c r="D157" i="16" s="1"/>
  <c r="E195" i="15"/>
  <c r="E197" i="15" s="1"/>
  <c r="E199" i="15" s="1"/>
  <c r="E105" i="16"/>
  <c r="E98" i="16"/>
  <c r="E100" i="16" s="1"/>
  <c r="E138" i="16" s="1"/>
  <c r="E156" i="16" s="1"/>
  <c r="F165" i="15"/>
  <c r="J106" i="16"/>
  <c r="J66" i="15"/>
  <c r="J67" i="15" s="1"/>
  <c r="J68" i="15" s="1"/>
  <c r="D108" i="15"/>
  <c r="D110" i="15" s="1"/>
  <c r="D139" i="15" s="1"/>
  <c r="D157" i="15" s="1"/>
  <c r="E108" i="15"/>
  <c r="E110" i="15" s="1"/>
  <c r="E139" i="15" s="1"/>
  <c r="E157" i="15" s="1"/>
  <c r="E217" i="1"/>
  <c r="E219" i="1" s="1"/>
  <c r="J164" i="1"/>
  <c r="D189" i="14"/>
  <c r="D190" i="14" s="1"/>
  <c r="D192" i="14" s="1"/>
  <c r="H189" i="14"/>
  <c r="E189" i="14"/>
  <c r="E190" i="14" s="1"/>
  <c r="E192" i="14" s="1"/>
  <c r="E195" i="16"/>
  <c r="E181" i="16"/>
  <c r="E182" i="16" s="1"/>
  <c r="E191" i="16" s="1"/>
  <c r="E198" i="16" s="1"/>
  <c r="E177" i="16"/>
  <c r="E186" i="16" s="1"/>
  <c r="E187" i="16" s="1"/>
  <c r="E190" i="16" s="1"/>
  <c r="F163" i="16"/>
  <c r="F165" i="16" s="1"/>
  <c r="F129" i="16"/>
  <c r="E194" i="16"/>
  <c r="E98" i="1"/>
  <c r="E100" i="1" s="1"/>
  <c r="C19" i="1" s="1"/>
  <c r="J6" i="2" s="1"/>
  <c r="G92" i="1"/>
  <c r="G98" i="1" s="1"/>
  <c r="G100" i="1" s="1"/>
  <c r="G138" i="1" s="1"/>
  <c r="G156" i="1" s="1"/>
  <c r="E109" i="14"/>
  <c r="E157" i="14" s="1"/>
  <c r="E158" i="14" s="1"/>
  <c r="H109" i="14"/>
  <c r="H114" i="14" s="1"/>
  <c r="L189" i="14"/>
  <c r="F189" i="14"/>
  <c r="M106" i="16"/>
  <c r="H88" i="1"/>
  <c r="H89" i="1" s="1"/>
  <c r="L121" i="1"/>
  <c r="L140" i="1" s="1"/>
  <c r="L158" i="1" s="1"/>
  <c r="C19" i="15"/>
  <c r="E138" i="15"/>
  <c r="F92" i="16"/>
  <c r="F105" i="16" s="1"/>
  <c r="I74" i="14"/>
  <c r="I81" i="14" s="1"/>
  <c r="F81" i="14"/>
  <c r="F82" i="14" s="1"/>
  <c r="F219" i="1"/>
  <c r="D217" i="1"/>
  <c r="I6" i="2" s="1"/>
  <c r="D105" i="1"/>
  <c r="D98" i="1"/>
  <c r="D100" i="1" s="1"/>
  <c r="D219" i="16"/>
  <c r="I4" i="2"/>
  <c r="J109" i="14"/>
  <c r="J157" i="14" s="1"/>
  <c r="E91" i="14"/>
  <c r="E93" i="14" s="1"/>
  <c r="E210" i="14"/>
  <c r="D219" i="15"/>
  <c r="I7" i="2"/>
  <c r="E6" i="2"/>
  <c r="M121" i="1"/>
  <c r="M140" i="1" s="1"/>
  <c r="M158" i="1" s="1"/>
  <c r="I106" i="1"/>
  <c r="G85" i="14"/>
  <c r="G91" i="14" s="1"/>
  <c r="G93" i="14" s="1"/>
  <c r="G131" i="14" s="1"/>
  <c r="E106" i="16"/>
  <c r="D93" i="14"/>
  <c r="D131" i="14" s="1"/>
  <c r="I82" i="1"/>
  <c r="I81" i="1"/>
  <c r="J67" i="1"/>
  <c r="J68" i="1" s="1"/>
  <c r="G163" i="1"/>
  <c r="G165" i="1" s="1"/>
  <c r="G129" i="1"/>
  <c r="F195" i="1"/>
  <c r="F197" i="1" s="1"/>
  <c r="F181" i="1"/>
  <c r="F182" i="1" s="1"/>
  <c r="F191" i="1" s="1"/>
  <c r="F198" i="1" s="1"/>
  <c r="F177" i="1"/>
  <c r="F186" i="1" s="1"/>
  <c r="F187" i="1" s="1"/>
  <c r="F190" i="1" s="1"/>
  <c r="I81" i="16"/>
  <c r="I82" i="16"/>
  <c r="G89" i="16"/>
  <c r="G92" i="16"/>
  <c r="J145" i="16"/>
  <c r="I147" i="16"/>
  <c r="E219" i="16"/>
  <c r="L106" i="16"/>
  <c r="H106" i="16"/>
  <c r="K106" i="16"/>
  <c r="G106" i="16"/>
  <c r="I176" i="16"/>
  <c r="J67" i="16"/>
  <c r="J68" i="16" s="1"/>
  <c r="K66" i="16"/>
  <c r="D138" i="16"/>
  <c r="D101" i="16"/>
  <c r="H88" i="16"/>
  <c r="I74" i="16"/>
  <c r="I173" i="16"/>
  <c r="F106" i="16"/>
  <c r="I106" i="16"/>
  <c r="I82" i="15"/>
  <c r="I81" i="15"/>
  <c r="D138" i="15"/>
  <c r="D101" i="15"/>
  <c r="L7" i="2"/>
  <c r="N7" i="2" s="1"/>
  <c r="G89" i="15"/>
  <c r="G92" i="15"/>
  <c r="H176" i="15"/>
  <c r="H88" i="15"/>
  <c r="I74" i="15"/>
  <c r="J145" i="15"/>
  <c r="I147" i="15"/>
  <c r="I173" i="15"/>
  <c r="F217" i="15"/>
  <c r="F219" i="15" s="1"/>
  <c r="F105" i="15"/>
  <c r="F108" i="15" s="1"/>
  <c r="F110" i="15" s="1"/>
  <c r="F139" i="15" s="1"/>
  <c r="F157" i="15" s="1"/>
  <c r="F98" i="15"/>
  <c r="F100" i="15" s="1"/>
  <c r="G114" i="14"/>
  <c r="G157" i="14"/>
  <c r="F211" i="14"/>
  <c r="E211" i="14"/>
  <c r="M211" i="14"/>
  <c r="L157" i="14"/>
  <c r="G140" i="14"/>
  <c r="H138" i="14"/>
  <c r="I157" i="14"/>
  <c r="I114" i="14"/>
  <c r="I133" i="14" s="1"/>
  <c r="I151" i="14" s="1"/>
  <c r="F114" i="14"/>
  <c r="F133" i="14" s="1"/>
  <c r="F151" i="14" s="1"/>
  <c r="F157" i="14"/>
  <c r="F158" i="14" s="1"/>
  <c r="J211" i="14"/>
  <c r="I211" i="14"/>
  <c r="D99" i="14"/>
  <c r="D101" i="14" s="1"/>
  <c r="D103" i="14" s="1"/>
  <c r="D132" i="14" s="1"/>
  <c r="D150" i="14" s="1"/>
  <c r="D211" i="14"/>
  <c r="E5" i="2" s="1"/>
  <c r="M157" i="14"/>
  <c r="M114" i="14"/>
  <c r="M133" i="14" s="1"/>
  <c r="M151" i="14" s="1"/>
  <c r="K114" i="14"/>
  <c r="K157" i="14"/>
  <c r="F123" i="14"/>
  <c r="F134" i="14" s="1"/>
  <c r="F152" i="14" s="1"/>
  <c r="F178" i="14"/>
  <c r="F173" i="14"/>
  <c r="F168" i="14"/>
  <c r="G121" i="14"/>
  <c r="H166" i="14"/>
  <c r="L59" i="14"/>
  <c r="K60" i="14"/>
  <c r="K61" i="14" s="1"/>
  <c r="J75" i="14"/>
  <c r="J74" i="14"/>
  <c r="H82" i="14"/>
  <c r="H85" i="14"/>
  <c r="J67" i="14"/>
  <c r="I169" i="14"/>
  <c r="K164" i="1"/>
  <c r="K121" i="1"/>
  <c r="E106" i="1"/>
  <c r="E108" i="1" s="1"/>
  <c r="E110" i="1" s="1"/>
  <c r="E139" i="1" s="1"/>
  <c r="G106" i="1"/>
  <c r="G140" i="1"/>
  <c r="G158" i="1" s="1"/>
  <c r="F164" i="1"/>
  <c r="F165" i="1" s="1"/>
  <c r="F121" i="1"/>
  <c r="J106" i="1"/>
  <c r="J140" i="1"/>
  <c r="J158" i="1" s="1"/>
  <c r="H121" i="1"/>
  <c r="H164" i="1"/>
  <c r="J145" i="1"/>
  <c r="I147" i="1"/>
  <c r="L173" i="1"/>
  <c r="I176" i="1"/>
  <c r="L74" i="1"/>
  <c r="G128" i="15" l="1"/>
  <c r="G163" i="15" s="1"/>
  <c r="G165" i="15" s="1"/>
  <c r="F175" i="15"/>
  <c r="F181" i="15" s="1"/>
  <c r="F130" i="15"/>
  <c r="F141" i="15" s="1"/>
  <c r="F159" i="15" s="1"/>
  <c r="F180" i="15"/>
  <c r="O4" i="2"/>
  <c r="O6" i="2"/>
  <c r="O7" i="2"/>
  <c r="D108" i="1"/>
  <c r="D110" i="1" s="1"/>
  <c r="D139" i="1" s="1"/>
  <c r="D157" i="1" s="1"/>
  <c r="E142" i="15"/>
  <c r="E160" i="15" s="1"/>
  <c r="E167" i="15" s="1"/>
  <c r="E108" i="16"/>
  <c r="E110" i="16" s="1"/>
  <c r="E139" i="16" s="1"/>
  <c r="E157" i="16" s="1"/>
  <c r="H157" i="14"/>
  <c r="J114" i="14"/>
  <c r="J133" i="14" s="1"/>
  <c r="J151" i="14" s="1"/>
  <c r="K66" i="15"/>
  <c r="L66" i="15" s="1"/>
  <c r="J7" i="2"/>
  <c r="E156" i="15"/>
  <c r="G217" i="1"/>
  <c r="G219" i="1" s="1"/>
  <c r="G105" i="1"/>
  <c r="G108" i="1" s="1"/>
  <c r="G110" i="1" s="1"/>
  <c r="G139" i="1" s="1"/>
  <c r="G157" i="1" s="1"/>
  <c r="C20" i="1"/>
  <c r="L6" i="2" s="1"/>
  <c r="N6" i="2" s="1"/>
  <c r="E138" i="1"/>
  <c r="E156" i="1" s="1"/>
  <c r="E114" i="14"/>
  <c r="E133" i="14" s="1"/>
  <c r="E151" i="14" s="1"/>
  <c r="E197" i="16"/>
  <c r="E199" i="16" s="1"/>
  <c r="F180" i="16"/>
  <c r="G128" i="16"/>
  <c r="F175" i="16"/>
  <c r="F130" i="16"/>
  <c r="F141" i="16" s="1"/>
  <c r="F159" i="16" s="1"/>
  <c r="F185" i="16"/>
  <c r="F194" i="16" s="1"/>
  <c r="H92" i="1"/>
  <c r="H105" i="1" s="1"/>
  <c r="M106" i="1"/>
  <c r="L106" i="1"/>
  <c r="F138" i="15"/>
  <c r="F217" i="16"/>
  <c r="F219" i="16" s="1"/>
  <c r="F98" i="16"/>
  <c r="F100" i="16" s="1"/>
  <c r="C19" i="16" s="1"/>
  <c r="J4" i="2" s="1"/>
  <c r="E131" i="14"/>
  <c r="E149" i="14" s="1"/>
  <c r="F85" i="14"/>
  <c r="F210" i="14" s="1"/>
  <c r="F212" i="14" s="1"/>
  <c r="D219" i="1"/>
  <c r="D138" i="1"/>
  <c r="D101" i="1"/>
  <c r="I88" i="1"/>
  <c r="I89" i="1" s="1"/>
  <c r="I9" i="2"/>
  <c r="O9" i="2" s="1"/>
  <c r="E212" i="14"/>
  <c r="G210" i="14"/>
  <c r="G212" i="14" s="1"/>
  <c r="C12" i="14"/>
  <c r="J5" i="2" s="1"/>
  <c r="E9" i="2"/>
  <c r="D212" i="14"/>
  <c r="G98" i="14"/>
  <c r="C13" i="14"/>
  <c r="D94" i="14"/>
  <c r="K67" i="1"/>
  <c r="K68" i="1" s="1"/>
  <c r="L66" i="1"/>
  <c r="J81" i="1"/>
  <c r="J82" i="1"/>
  <c r="F199" i="1"/>
  <c r="G130" i="1"/>
  <c r="G141" i="1" s="1"/>
  <c r="G159" i="1" s="1"/>
  <c r="H128" i="1"/>
  <c r="G175" i="1"/>
  <c r="G180" i="1"/>
  <c r="G185" i="1"/>
  <c r="G194" i="1" s="1"/>
  <c r="J81" i="16"/>
  <c r="J82" i="16"/>
  <c r="J173" i="16"/>
  <c r="H89" i="16"/>
  <c r="H92" i="16"/>
  <c r="D156" i="16"/>
  <c r="D142" i="16"/>
  <c r="J176" i="16"/>
  <c r="J147" i="16"/>
  <c r="K145" i="16"/>
  <c r="F108" i="16"/>
  <c r="F110" i="16" s="1"/>
  <c r="F139" i="16" s="1"/>
  <c r="F157" i="16" s="1"/>
  <c r="I88" i="16"/>
  <c r="J74" i="16"/>
  <c r="K67" i="16"/>
  <c r="K68" i="16" s="1"/>
  <c r="L66" i="16"/>
  <c r="G217" i="16"/>
  <c r="G219" i="16" s="1"/>
  <c r="G105" i="16"/>
  <c r="G108" i="16" s="1"/>
  <c r="G110" i="16" s="1"/>
  <c r="G139" i="16" s="1"/>
  <c r="G157" i="16" s="1"/>
  <c r="G98" i="16"/>
  <c r="G100" i="16" s="1"/>
  <c r="G138" i="16" s="1"/>
  <c r="J82" i="15"/>
  <c r="J81" i="15"/>
  <c r="I88" i="15"/>
  <c r="J74" i="15"/>
  <c r="I176" i="15"/>
  <c r="G217" i="15"/>
  <c r="G219" i="15" s="1"/>
  <c r="G98" i="15"/>
  <c r="G100" i="15" s="1"/>
  <c r="G105" i="15"/>
  <c r="G108" i="15" s="1"/>
  <c r="G110" i="15" s="1"/>
  <c r="G139" i="15" s="1"/>
  <c r="G157" i="15" s="1"/>
  <c r="J173" i="15"/>
  <c r="J147" i="15"/>
  <c r="K145" i="15"/>
  <c r="H89" i="15"/>
  <c r="H92" i="15"/>
  <c r="F177" i="15"/>
  <c r="F186" i="15" s="1"/>
  <c r="F187" i="15" s="1"/>
  <c r="F190" i="15" s="1"/>
  <c r="F194" i="15"/>
  <c r="D156" i="15"/>
  <c r="D142" i="15"/>
  <c r="I99" i="14"/>
  <c r="K133" i="14"/>
  <c r="K151" i="14" s="1"/>
  <c r="K99" i="14"/>
  <c r="G133" i="14"/>
  <c r="G151" i="14" s="1"/>
  <c r="G99" i="14"/>
  <c r="M99" i="14"/>
  <c r="F99" i="14"/>
  <c r="I138" i="14"/>
  <c r="H140" i="14"/>
  <c r="L133" i="14"/>
  <c r="L151" i="14" s="1"/>
  <c r="L99" i="14"/>
  <c r="H133" i="14"/>
  <c r="H151" i="14" s="1"/>
  <c r="H99" i="14"/>
  <c r="K74" i="14"/>
  <c r="K75" i="14"/>
  <c r="I82" i="14"/>
  <c r="I85" i="14"/>
  <c r="D149" i="14"/>
  <c r="D135" i="14"/>
  <c r="G149" i="14"/>
  <c r="G156" i="14"/>
  <c r="G158" i="14" s="1"/>
  <c r="G122" i="14"/>
  <c r="J169" i="14"/>
  <c r="J81" i="14"/>
  <c r="K67" i="14"/>
  <c r="H210" i="14"/>
  <c r="H212" i="14" s="1"/>
  <c r="H98" i="14"/>
  <c r="H91" i="14"/>
  <c r="H93" i="14" s="1"/>
  <c r="H131" i="14" s="1"/>
  <c r="L60" i="14"/>
  <c r="L61" i="14" s="1"/>
  <c r="M59" i="14"/>
  <c r="I166" i="14"/>
  <c r="F188" i="14"/>
  <c r="F170" i="14"/>
  <c r="F179" i="14" s="1"/>
  <c r="F180" i="14" s="1"/>
  <c r="F183" i="14" s="1"/>
  <c r="F174" i="14"/>
  <c r="F175" i="14" s="1"/>
  <c r="F184" i="14" s="1"/>
  <c r="F191" i="14" s="1"/>
  <c r="F187" i="14"/>
  <c r="H140" i="1"/>
  <c r="H158" i="1" s="1"/>
  <c r="H106" i="1"/>
  <c r="K140" i="1"/>
  <c r="K158" i="1" s="1"/>
  <c r="K106" i="1"/>
  <c r="F140" i="1"/>
  <c r="F158" i="1" s="1"/>
  <c r="F106" i="1"/>
  <c r="F108" i="1" s="1"/>
  <c r="F110" i="1" s="1"/>
  <c r="F139" i="1" s="1"/>
  <c r="E157" i="1"/>
  <c r="J176" i="1"/>
  <c r="M173" i="1"/>
  <c r="K145" i="1"/>
  <c r="J147" i="1"/>
  <c r="M74" i="1"/>
  <c r="F195" i="15" l="1"/>
  <c r="G129" i="15"/>
  <c r="F182" i="15"/>
  <c r="F191" i="15" s="1"/>
  <c r="F198" i="15" s="1"/>
  <c r="F142" i="15"/>
  <c r="F160" i="15" s="1"/>
  <c r="F167" i="15" s="1"/>
  <c r="D142" i="1"/>
  <c r="D160" i="1" s="1"/>
  <c r="D167" i="1" s="1"/>
  <c r="E149" i="15"/>
  <c r="E99" i="14"/>
  <c r="E101" i="14" s="1"/>
  <c r="E103" i="14" s="1"/>
  <c r="E132" i="14" s="1"/>
  <c r="E135" i="14" s="1"/>
  <c r="E142" i="16"/>
  <c r="E149" i="16" s="1"/>
  <c r="J99" i="14"/>
  <c r="K67" i="15"/>
  <c r="K68" i="15" s="1"/>
  <c r="K81" i="15" s="1"/>
  <c r="H217" i="1"/>
  <c r="H219" i="1" s="1"/>
  <c r="H98" i="1"/>
  <c r="H100" i="1" s="1"/>
  <c r="H138" i="1" s="1"/>
  <c r="H156" i="1" s="1"/>
  <c r="E142" i="1"/>
  <c r="E149" i="1" s="1"/>
  <c r="C22" i="1" s="1"/>
  <c r="F181" i="16"/>
  <c r="F182" i="16" s="1"/>
  <c r="F191" i="16" s="1"/>
  <c r="F198" i="16" s="1"/>
  <c r="F177" i="16"/>
  <c r="F186" i="16" s="1"/>
  <c r="F187" i="16" s="1"/>
  <c r="F190" i="16" s="1"/>
  <c r="F195" i="16"/>
  <c r="F197" i="16" s="1"/>
  <c r="G163" i="16"/>
  <c r="G165" i="16" s="1"/>
  <c r="G129" i="16"/>
  <c r="F156" i="15"/>
  <c r="C20" i="16"/>
  <c r="L4" i="2" s="1"/>
  <c r="N4" i="2" s="1"/>
  <c r="F138" i="16"/>
  <c r="F156" i="16" s="1"/>
  <c r="F190" i="14"/>
  <c r="F192" i="14" s="1"/>
  <c r="H101" i="14"/>
  <c r="H103" i="14" s="1"/>
  <c r="H132" i="14" s="1"/>
  <c r="H150" i="14" s="1"/>
  <c r="J88" i="1"/>
  <c r="J92" i="1" s="1"/>
  <c r="G138" i="15"/>
  <c r="G156" i="15" s="1"/>
  <c r="C224" i="15"/>
  <c r="L5" i="2"/>
  <c r="N5" i="2" s="1"/>
  <c r="F91" i="14"/>
  <c r="F93" i="14" s="1"/>
  <c r="F131" i="14" s="1"/>
  <c r="F149" i="14" s="1"/>
  <c r="F98" i="14"/>
  <c r="F101" i="14" s="1"/>
  <c r="F103" i="14" s="1"/>
  <c r="F132" i="14" s="1"/>
  <c r="G142" i="1"/>
  <c r="G149" i="1" s="1"/>
  <c r="D156" i="1"/>
  <c r="H108" i="1"/>
  <c r="H110" i="1" s="1"/>
  <c r="H139" i="1" s="1"/>
  <c r="H157" i="1" s="1"/>
  <c r="I92" i="1"/>
  <c r="I217" i="1" s="1"/>
  <c r="I219" i="1" s="1"/>
  <c r="G101" i="14"/>
  <c r="G103" i="14" s="1"/>
  <c r="G132" i="14" s="1"/>
  <c r="G150" i="14" s="1"/>
  <c r="F197" i="15"/>
  <c r="F199" i="15" s="1"/>
  <c r="K82" i="1"/>
  <c r="K81" i="1"/>
  <c r="L67" i="1"/>
  <c r="L68" i="1" s="1"/>
  <c r="M66" i="1"/>
  <c r="M67" i="1" s="1"/>
  <c r="M68" i="1" s="1"/>
  <c r="H163" i="1"/>
  <c r="H165" i="1" s="1"/>
  <c r="H129" i="1"/>
  <c r="G181" i="1"/>
  <c r="G182" i="1" s="1"/>
  <c r="G191" i="1" s="1"/>
  <c r="G198" i="1" s="1"/>
  <c r="G195" i="1"/>
  <c r="G197" i="1" s="1"/>
  <c r="G177" i="1"/>
  <c r="G186" i="1" s="1"/>
  <c r="G187" i="1" s="1"/>
  <c r="G190" i="1" s="1"/>
  <c r="K82" i="16"/>
  <c r="K81" i="16"/>
  <c r="L67" i="16"/>
  <c r="L68" i="16" s="1"/>
  <c r="M66" i="16"/>
  <c r="I89" i="16"/>
  <c r="I92" i="16"/>
  <c r="L145" i="16"/>
  <c r="K147" i="16"/>
  <c r="G156" i="16"/>
  <c r="J88" i="16"/>
  <c r="K74" i="16"/>
  <c r="K176" i="16"/>
  <c r="D160" i="16"/>
  <c r="D167" i="16" s="1"/>
  <c r="D149" i="16"/>
  <c r="H217" i="16"/>
  <c r="H219" i="16" s="1"/>
  <c r="H98" i="16"/>
  <c r="H100" i="16" s="1"/>
  <c r="H138" i="16" s="1"/>
  <c r="H105" i="16"/>
  <c r="H108" i="16" s="1"/>
  <c r="H110" i="16" s="1"/>
  <c r="H139" i="16" s="1"/>
  <c r="H157" i="16" s="1"/>
  <c r="K173" i="16"/>
  <c r="D160" i="15"/>
  <c r="D167" i="15" s="1"/>
  <c r="C22" i="15" s="1"/>
  <c r="D149" i="15"/>
  <c r="H217" i="15"/>
  <c r="H219" i="15" s="1"/>
  <c r="H105" i="15"/>
  <c r="H108" i="15" s="1"/>
  <c r="H110" i="15" s="1"/>
  <c r="H139" i="15" s="1"/>
  <c r="H157" i="15" s="1"/>
  <c r="H98" i="15"/>
  <c r="H100" i="15" s="1"/>
  <c r="L145" i="15"/>
  <c r="K147" i="15"/>
  <c r="K173" i="15"/>
  <c r="G185" i="15"/>
  <c r="G180" i="15"/>
  <c r="H128" i="15"/>
  <c r="G130" i="15"/>
  <c r="G141" i="15" s="1"/>
  <c r="G159" i="15" s="1"/>
  <c r="G175" i="15"/>
  <c r="J176" i="15"/>
  <c r="J88" i="15"/>
  <c r="K74" i="15"/>
  <c r="L67" i="15"/>
  <c r="L68" i="15" s="1"/>
  <c r="M66" i="15"/>
  <c r="I89" i="15"/>
  <c r="I92" i="15"/>
  <c r="J138" i="14"/>
  <c r="I140" i="14"/>
  <c r="L74" i="14"/>
  <c r="L75" i="14"/>
  <c r="J166" i="14"/>
  <c r="H149" i="14"/>
  <c r="J82" i="14"/>
  <c r="J85" i="14"/>
  <c r="G178" i="14"/>
  <c r="G173" i="14"/>
  <c r="H121" i="14"/>
  <c r="G123" i="14"/>
  <c r="G134" i="14" s="1"/>
  <c r="G168" i="14"/>
  <c r="D153" i="14"/>
  <c r="D160" i="14" s="1"/>
  <c r="D142" i="14"/>
  <c r="C15" i="14" s="1"/>
  <c r="K5" i="2" s="1"/>
  <c r="I210" i="14"/>
  <c r="I212" i="14" s="1"/>
  <c r="I91" i="14"/>
  <c r="I93" i="14" s="1"/>
  <c r="I131" i="14" s="1"/>
  <c r="I98" i="14"/>
  <c r="I101" i="14" s="1"/>
  <c r="I103" i="14" s="1"/>
  <c r="I132" i="14" s="1"/>
  <c r="I150" i="14" s="1"/>
  <c r="M60" i="14"/>
  <c r="M61" i="14" s="1"/>
  <c r="K81" i="14"/>
  <c r="L67" i="14"/>
  <c r="K169" i="14"/>
  <c r="F157" i="1"/>
  <c r="F142" i="1"/>
  <c r="K147" i="1"/>
  <c r="L145" i="1"/>
  <c r="K176" i="1"/>
  <c r="D149" i="1" l="1"/>
  <c r="K6" i="2" s="1"/>
  <c r="F149" i="15"/>
  <c r="E150" i="14"/>
  <c r="N9" i="2"/>
  <c r="E160" i="16"/>
  <c r="E167" i="16" s="1"/>
  <c r="K82" i="15"/>
  <c r="K88" i="15" s="1"/>
  <c r="E160" i="1"/>
  <c r="E167" i="1" s="1"/>
  <c r="G160" i="1"/>
  <c r="G167" i="1" s="1"/>
  <c r="G130" i="16"/>
  <c r="G141" i="16" s="1"/>
  <c r="G175" i="16"/>
  <c r="G180" i="16"/>
  <c r="G185" i="16"/>
  <c r="G194" i="16" s="1"/>
  <c r="H128" i="16"/>
  <c r="F199" i="16"/>
  <c r="F142" i="16"/>
  <c r="J89" i="1"/>
  <c r="H138" i="15"/>
  <c r="H156" i="15" s="1"/>
  <c r="L9" i="2"/>
  <c r="I23" i="2" s="1"/>
  <c r="K7" i="2"/>
  <c r="F135" i="14"/>
  <c r="F153" i="14" s="1"/>
  <c r="F160" i="14" s="1"/>
  <c r="I25" i="2"/>
  <c r="K88" i="1"/>
  <c r="K92" i="1" s="1"/>
  <c r="I105" i="1"/>
  <c r="I108" i="1" s="1"/>
  <c r="I110" i="1" s="1"/>
  <c r="I139" i="1" s="1"/>
  <c r="I157" i="1" s="1"/>
  <c r="I98" i="1"/>
  <c r="I100" i="1" s="1"/>
  <c r="I138" i="1" s="1"/>
  <c r="I156" i="1" s="1"/>
  <c r="F150" i="14"/>
  <c r="L82" i="1"/>
  <c r="L81" i="1"/>
  <c r="M82" i="1"/>
  <c r="M81" i="1"/>
  <c r="J105" i="1"/>
  <c r="J108" i="1" s="1"/>
  <c r="J110" i="1" s="1"/>
  <c r="J139" i="1" s="1"/>
  <c r="J157" i="1" s="1"/>
  <c r="J217" i="1"/>
  <c r="J219" i="1" s="1"/>
  <c r="J98" i="1"/>
  <c r="J100" i="1" s="1"/>
  <c r="J138" i="1" s="1"/>
  <c r="J156" i="1" s="1"/>
  <c r="G199" i="1"/>
  <c r="H180" i="1"/>
  <c r="H185" i="1"/>
  <c r="I128" i="1"/>
  <c r="H175" i="1"/>
  <c r="H130" i="1"/>
  <c r="H141" i="1" s="1"/>
  <c r="L82" i="16"/>
  <c r="L81" i="16"/>
  <c r="L173" i="16"/>
  <c r="H156" i="16"/>
  <c r="L176" i="16"/>
  <c r="K88" i="16"/>
  <c r="L74" i="16"/>
  <c r="L147" i="16"/>
  <c r="M145" i="16"/>
  <c r="M147" i="16" s="1"/>
  <c r="J89" i="16"/>
  <c r="J92" i="16"/>
  <c r="I217" i="16"/>
  <c r="I219" i="16" s="1"/>
  <c r="I105" i="16"/>
  <c r="I108" i="16" s="1"/>
  <c r="I110" i="16" s="1"/>
  <c r="I139" i="16" s="1"/>
  <c r="I157" i="16" s="1"/>
  <c r="I98" i="16"/>
  <c r="I100" i="16" s="1"/>
  <c r="I138" i="16" s="1"/>
  <c r="M67" i="16"/>
  <c r="M68" i="16" s="1"/>
  <c r="L82" i="15"/>
  <c r="L81" i="15"/>
  <c r="J89" i="15"/>
  <c r="J92" i="15"/>
  <c r="L173" i="15"/>
  <c r="L147" i="15"/>
  <c r="M145" i="15"/>
  <c r="M147" i="15" s="1"/>
  <c r="G142" i="15"/>
  <c r="I217" i="15"/>
  <c r="I219" i="15" s="1"/>
  <c r="I98" i="15"/>
  <c r="I100" i="15" s="1"/>
  <c r="I105" i="15"/>
  <c r="I108" i="15" s="1"/>
  <c r="I110" i="15" s="1"/>
  <c r="I139" i="15" s="1"/>
  <c r="I157" i="15" s="1"/>
  <c r="M67" i="15"/>
  <c r="M68" i="15" s="1"/>
  <c r="L74" i="15"/>
  <c r="K176" i="15"/>
  <c r="G195" i="15"/>
  <c r="G181" i="15"/>
  <c r="G182" i="15" s="1"/>
  <c r="G191" i="15" s="1"/>
  <c r="G198" i="15" s="1"/>
  <c r="G177" i="15"/>
  <c r="G186" i="15" s="1"/>
  <c r="G187" i="15" s="1"/>
  <c r="G190" i="15" s="1"/>
  <c r="H163" i="15"/>
  <c r="H165" i="15" s="1"/>
  <c r="H129" i="15"/>
  <c r="G194" i="15"/>
  <c r="K138" i="14"/>
  <c r="J140" i="14"/>
  <c r="E153" i="14"/>
  <c r="E160" i="14" s="1"/>
  <c r="E142" i="14"/>
  <c r="M75" i="14"/>
  <c r="M74" i="14"/>
  <c r="L169" i="14"/>
  <c r="L81" i="14"/>
  <c r="M67" i="14"/>
  <c r="I149" i="14"/>
  <c r="G188" i="14"/>
  <c r="G174" i="14"/>
  <c r="G175" i="14" s="1"/>
  <c r="G184" i="14" s="1"/>
  <c r="G191" i="14" s="1"/>
  <c r="G170" i="14"/>
  <c r="G179" i="14" s="1"/>
  <c r="G180" i="14" s="1"/>
  <c r="G183" i="14" s="1"/>
  <c r="H156" i="14"/>
  <c r="H158" i="14" s="1"/>
  <c r="H122" i="14"/>
  <c r="G187" i="14"/>
  <c r="K82" i="14"/>
  <c r="K85" i="14"/>
  <c r="G152" i="14"/>
  <c r="G135" i="14"/>
  <c r="J210" i="14"/>
  <c r="J212" i="14" s="1"/>
  <c r="J98" i="14"/>
  <c r="J101" i="14" s="1"/>
  <c r="J103" i="14" s="1"/>
  <c r="J132" i="14" s="1"/>
  <c r="J150" i="14" s="1"/>
  <c r="J91" i="14"/>
  <c r="J93" i="14" s="1"/>
  <c r="J131" i="14" s="1"/>
  <c r="K166" i="14"/>
  <c r="F160" i="1"/>
  <c r="F167" i="1" s="1"/>
  <c r="F149" i="1"/>
  <c r="L176" i="1"/>
  <c r="M145" i="1"/>
  <c r="M147" i="1" s="1"/>
  <c r="L147" i="1"/>
  <c r="I22" i="2" l="1"/>
  <c r="G12" i="2"/>
  <c r="H163" i="16"/>
  <c r="H165" i="16" s="1"/>
  <c r="H129" i="16"/>
  <c r="G159" i="16"/>
  <c r="G142" i="16"/>
  <c r="G195" i="16"/>
  <c r="G197" i="16" s="1"/>
  <c r="G177" i="16"/>
  <c r="G186" i="16" s="1"/>
  <c r="G187" i="16" s="1"/>
  <c r="G190" i="16" s="1"/>
  <c r="G181" i="16"/>
  <c r="G182" i="16" s="1"/>
  <c r="G191" i="16" s="1"/>
  <c r="G198" i="16" s="1"/>
  <c r="F149" i="16"/>
  <c r="C22" i="16" s="1"/>
  <c r="K4" i="2" s="1"/>
  <c r="F160" i="16"/>
  <c r="F167" i="16" s="1"/>
  <c r="G190" i="14"/>
  <c r="G192" i="14" s="1"/>
  <c r="I138" i="15"/>
  <c r="I156" i="15" s="1"/>
  <c r="K89" i="1"/>
  <c r="F142" i="14"/>
  <c r="L88" i="1"/>
  <c r="L89" i="1" s="1"/>
  <c r="M88" i="1"/>
  <c r="M92" i="1" s="1"/>
  <c r="G197" i="15"/>
  <c r="G199" i="15" s="1"/>
  <c r="M81" i="14"/>
  <c r="M82" i="14" s="1"/>
  <c r="K105" i="1"/>
  <c r="K108" i="1" s="1"/>
  <c r="K110" i="1" s="1"/>
  <c r="K139" i="1" s="1"/>
  <c r="K157" i="1" s="1"/>
  <c r="K98" i="1"/>
  <c r="K100" i="1" s="1"/>
  <c r="K138" i="1" s="1"/>
  <c r="K156" i="1" s="1"/>
  <c r="K217" i="1"/>
  <c r="K219" i="1" s="1"/>
  <c r="H195" i="1"/>
  <c r="H177" i="1"/>
  <c r="H186" i="1" s="1"/>
  <c r="H187" i="1" s="1"/>
  <c r="H190" i="1" s="1"/>
  <c r="H181" i="1"/>
  <c r="H182" i="1" s="1"/>
  <c r="H191" i="1" s="1"/>
  <c r="H198" i="1" s="1"/>
  <c r="H194" i="1"/>
  <c r="H159" i="1"/>
  <c r="H142" i="1"/>
  <c r="I163" i="1"/>
  <c r="I165" i="1" s="1"/>
  <c r="I129" i="1"/>
  <c r="M81" i="16"/>
  <c r="M82" i="16"/>
  <c r="I156" i="16"/>
  <c r="K89" i="16"/>
  <c r="K92" i="16"/>
  <c r="J217" i="16"/>
  <c r="J219" i="16" s="1"/>
  <c r="J98" i="16"/>
  <c r="J100" i="16" s="1"/>
  <c r="J138" i="16" s="1"/>
  <c r="J105" i="16"/>
  <c r="J108" i="16" s="1"/>
  <c r="J110" i="16" s="1"/>
  <c r="J139" i="16" s="1"/>
  <c r="J157" i="16" s="1"/>
  <c r="L88" i="16"/>
  <c r="M74" i="16"/>
  <c r="M176" i="16"/>
  <c r="M173" i="16"/>
  <c r="M82" i="15"/>
  <c r="M81" i="15"/>
  <c r="L176" i="15"/>
  <c r="L88" i="15"/>
  <c r="M74" i="15"/>
  <c r="J217" i="15"/>
  <c r="J219" i="15" s="1"/>
  <c r="J105" i="15"/>
  <c r="J108" i="15" s="1"/>
  <c r="J110" i="15" s="1"/>
  <c r="J139" i="15" s="1"/>
  <c r="J157" i="15" s="1"/>
  <c r="J98" i="15"/>
  <c r="J100" i="15" s="1"/>
  <c r="H130" i="15"/>
  <c r="H141" i="15" s="1"/>
  <c r="H185" i="15"/>
  <c r="H180" i="15"/>
  <c r="H175" i="15"/>
  <c r="I128" i="15"/>
  <c r="K89" i="15"/>
  <c r="K92" i="15"/>
  <c r="G160" i="15"/>
  <c r="G167" i="15" s="1"/>
  <c r="G149" i="15"/>
  <c r="M173" i="15"/>
  <c r="L138" i="14"/>
  <c r="K140" i="14"/>
  <c r="J149" i="14"/>
  <c r="M169" i="14"/>
  <c r="L166" i="14"/>
  <c r="G153" i="14"/>
  <c r="G160" i="14" s="1"/>
  <c r="G142" i="14"/>
  <c r="K210" i="14"/>
  <c r="K212" i="14" s="1"/>
  <c r="K91" i="14"/>
  <c r="K93" i="14" s="1"/>
  <c r="K131" i="14" s="1"/>
  <c r="K98" i="14"/>
  <c r="K101" i="14" s="1"/>
  <c r="K103" i="14" s="1"/>
  <c r="K132" i="14" s="1"/>
  <c r="K150" i="14" s="1"/>
  <c r="H123" i="14"/>
  <c r="H134" i="14" s="1"/>
  <c r="H178" i="14"/>
  <c r="H173" i="14"/>
  <c r="H168" i="14"/>
  <c r="I121" i="14"/>
  <c r="L82" i="14"/>
  <c r="L85" i="14"/>
  <c r="M176" i="1"/>
  <c r="G16" i="2" l="1"/>
  <c r="G18" i="2" s="1"/>
  <c r="H18" i="2" s="1"/>
  <c r="I17" i="2"/>
  <c r="J17" i="2" s="1"/>
  <c r="G199" i="16"/>
  <c r="G160" i="16"/>
  <c r="G167" i="16" s="1"/>
  <c r="G149" i="16"/>
  <c r="H175" i="16"/>
  <c r="H185" i="16"/>
  <c r="H194" i="16" s="1"/>
  <c r="H180" i="16"/>
  <c r="H130" i="16"/>
  <c r="H141" i="16" s="1"/>
  <c r="I128" i="16"/>
  <c r="J138" i="15"/>
  <c r="J156" i="15" s="1"/>
  <c r="M85" i="14"/>
  <c r="M98" i="14" s="1"/>
  <c r="M101" i="14" s="1"/>
  <c r="M103" i="14" s="1"/>
  <c r="M132" i="14" s="1"/>
  <c r="M150" i="14" s="1"/>
  <c r="L92" i="1"/>
  <c r="L98" i="1" s="1"/>
  <c r="L100" i="1" s="1"/>
  <c r="L138" i="1" s="1"/>
  <c r="L156" i="1" s="1"/>
  <c r="M89" i="1"/>
  <c r="M88" i="16"/>
  <c r="M89" i="16" s="1"/>
  <c r="H197" i="1"/>
  <c r="H199" i="1" s="1"/>
  <c r="M98" i="1"/>
  <c r="M100" i="1" s="1"/>
  <c r="M138" i="1" s="1"/>
  <c r="M156" i="1" s="1"/>
  <c r="M217" i="1"/>
  <c r="M219" i="1" s="1"/>
  <c r="M105" i="1"/>
  <c r="M108" i="1" s="1"/>
  <c r="M110" i="1" s="1"/>
  <c r="M139" i="1" s="1"/>
  <c r="M157" i="1" s="1"/>
  <c r="J128" i="1"/>
  <c r="I130" i="1"/>
  <c r="I141" i="1" s="1"/>
  <c r="I185" i="1"/>
  <c r="I194" i="1" s="1"/>
  <c r="I180" i="1"/>
  <c r="I175" i="1"/>
  <c r="H160" i="1"/>
  <c r="H167" i="1" s="1"/>
  <c r="H149" i="1"/>
  <c r="L89" i="16"/>
  <c r="L92" i="16"/>
  <c r="J156" i="16"/>
  <c r="K217" i="16"/>
  <c r="K219" i="16" s="1"/>
  <c r="K105" i="16"/>
  <c r="K108" i="16" s="1"/>
  <c r="K110" i="16" s="1"/>
  <c r="K139" i="16" s="1"/>
  <c r="K157" i="16" s="1"/>
  <c r="K98" i="16"/>
  <c r="K100" i="16" s="1"/>
  <c r="K138" i="16" s="1"/>
  <c r="H195" i="15"/>
  <c r="H181" i="15"/>
  <c r="H182" i="15" s="1"/>
  <c r="H191" i="15" s="1"/>
  <c r="H198" i="15" s="1"/>
  <c r="H177" i="15"/>
  <c r="H186" i="15" s="1"/>
  <c r="H187" i="15" s="1"/>
  <c r="H190" i="15" s="1"/>
  <c r="H194" i="15"/>
  <c r="L89" i="15"/>
  <c r="L92" i="15"/>
  <c r="K217" i="15"/>
  <c r="K219" i="15" s="1"/>
  <c r="K98" i="15"/>
  <c r="K100" i="15" s="1"/>
  <c r="K105" i="15"/>
  <c r="K108" i="15" s="1"/>
  <c r="K110" i="15" s="1"/>
  <c r="K139" i="15" s="1"/>
  <c r="K157" i="15" s="1"/>
  <c r="I163" i="15"/>
  <c r="I165" i="15" s="1"/>
  <c r="I129" i="15"/>
  <c r="H159" i="15"/>
  <c r="H142" i="15"/>
  <c r="M176" i="15"/>
  <c r="M88" i="15"/>
  <c r="L140" i="14"/>
  <c r="M138" i="14"/>
  <c r="M140" i="14" s="1"/>
  <c r="H188" i="14"/>
  <c r="H170" i="14"/>
  <c r="H179" i="14" s="1"/>
  <c r="H180" i="14" s="1"/>
  <c r="H183" i="14" s="1"/>
  <c r="H174" i="14"/>
  <c r="H175" i="14" s="1"/>
  <c r="H184" i="14" s="1"/>
  <c r="H191" i="14" s="1"/>
  <c r="H187" i="14"/>
  <c r="L210" i="14"/>
  <c r="L212" i="14" s="1"/>
  <c r="L98" i="14"/>
  <c r="L101" i="14" s="1"/>
  <c r="L103" i="14" s="1"/>
  <c r="L132" i="14" s="1"/>
  <c r="L150" i="14" s="1"/>
  <c r="L91" i="14"/>
  <c r="L93" i="14" s="1"/>
  <c r="L131" i="14" s="1"/>
  <c r="I156" i="14"/>
  <c r="I158" i="14" s="1"/>
  <c r="I122" i="14"/>
  <c r="H152" i="14"/>
  <c r="H135" i="14"/>
  <c r="K149" i="14"/>
  <c r="M166" i="14"/>
  <c r="I18" i="2" l="1"/>
  <c r="J18" i="2" s="1"/>
  <c r="I16" i="2"/>
  <c r="J16" i="2" s="1"/>
  <c r="H16" i="2"/>
  <c r="G17" i="2"/>
  <c r="H17" i="2" s="1"/>
  <c r="I129" i="16"/>
  <c r="I163" i="16"/>
  <c r="I165" i="16" s="1"/>
  <c r="H159" i="16"/>
  <c r="H142" i="16"/>
  <c r="H177" i="16"/>
  <c r="H186" i="16" s="1"/>
  <c r="H187" i="16" s="1"/>
  <c r="H190" i="16" s="1"/>
  <c r="H181" i="16"/>
  <c r="H182" i="16" s="1"/>
  <c r="H191" i="16" s="1"/>
  <c r="H198" i="16" s="1"/>
  <c r="H195" i="16"/>
  <c r="H197" i="16" s="1"/>
  <c r="L105" i="1"/>
  <c r="L108" i="1" s="1"/>
  <c r="L110" i="1" s="1"/>
  <c r="L139" i="1" s="1"/>
  <c r="L157" i="1" s="1"/>
  <c r="K138" i="15"/>
  <c r="K156" i="15" s="1"/>
  <c r="L217" i="1"/>
  <c r="L219" i="1" s="1"/>
  <c r="M92" i="16"/>
  <c r="M217" i="16" s="1"/>
  <c r="M219" i="16" s="1"/>
  <c r="M210" i="14"/>
  <c r="M212" i="14" s="1"/>
  <c r="M91" i="14"/>
  <c r="M93" i="14" s="1"/>
  <c r="M131" i="14" s="1"/>
  <c r="M149" i="14" s="1"/>
  <c r="H197" i="15"/>
  <c r="H199" i="15" s="1"/>
  <c r="H190" i="14"/>
  <c r="H192" i="14" s="1"/>
  <c r="I195" i="1"/>
  <c r="I197" i="1" s="1"/>
  <c r="I177" i="1"/>
  <c r="I186" i="1" s="1"/>
  <c r="I187" i="1" s="1"/>
  <c r="I190" i="1" s="1"/>
  <c r="I181" i="1"/>
  <c r="I182" i="1" s="1"/>
  <c r="I191" i="1" s="1"/>
  <c r="I198" i="1" s="1"/>
  <c r="J163" i="1"/>
  <c r="J165" i="1" s="1"/>
  <c r="J129" i="1"/>
  <c r="I159" i="1"/>
  <c r="I142" i="1"/>
  <c r="K156" i="16"/>
  <c r="L217" i="16"/>
  <c r="L219" i="16" s="1"/>
  <c r="L98" i="16"/>
  <c r="L100" i="16" s="1"/>
  <c r="L138" i="16" s="1"/>
  <c r="L105" i="16"/>
  <c r="L108" i="16" s="1"/>
  <c r="L110" i="16" s="1"/>
  <c r="L139" i="16" s="1"/>
  <c r="L157" i="16" s="1"/>
  <c r="M89" i="15"/>
  <c r="M92" i="15"/>
  <c r="H160" i="15"/>
  <c r="H167" i="15" s="1"/>
  <c r="H149" i="15"/>
  <c r="I185" i="15"/>
  <c r="I180" i="15"/>
  <c r="J128" i="15"/>
  <c r="I130" i="15"/>
  <c r="I141" i="15" s="1"/>
  <c r="I175" i="15"/>
  <c r="L217" i="15"/>
  <c r="L219" i="15" s="1"/>
  <c r="L105" i="15"/>
  <c r="L108" i="15" s="1"/>
  <c r="L110" i="15" s="1"/>
  <c r="L139" i="15" s="1"/>
  <c r="L157" i="15" s="1"/>
  <c r="L98" i="15"/>
  <c r="L100" i="15" s="1"/>
  <c r="H153" i="14"/>
  <c r="H160" i="14" s="1"/>
  <c r="H142" i="14"/>
  <c r="I178" i="14"/>
  <c r="I173" i="14"/>
  <c r="J121" i="14"/>
  <c r="I123" i="14"/>
  <c r="I134" i="14" s="1"/>
  <c r="I168" i="14"/>
  <c r="L149" i="14"/>
  <c r="H199" i="16" l="1"/>
  <c r="H160" i="16"/>
  <c r="H167" i="16" s="1"/>
  <c r="H149" i="16"/>
  <c r="J128" i="16"/>
  <c r="I130" i="16"/>
  <c r="I141" i="16" s="1"/>
  <c r="I185" i="16"/>
  <c r="I175" i="16"/>
  <c r="I180" i="16"/>
  <c r="M105" i="16"/>
  <c r="M108" i="16" s="1"/>
  <c r="M110" i="16" s="1"/>
  <c r="M139" i="16" s="1"/>
  <c r="M157" i="16" s="1"/>
  <c r="L138" i="15"/>
  <c r="L156" i="15" s="1"/>
  <c r="M98" i="16"/>
  <c r="M100" i="16" s="1"/>
  <c r="M138" i="16" s="1"/>
  <c r="M156" i="16" s="1"/>
  <c r="J130" i="1"/>
  <c r="J141" i="1" s="1"/>
  <c r="J185" i="1"/>
  <c r="J194" i="1" s="1"/>
  <c r="J175" i="1"/>
  <c r="J180" i="1"/>
  <c r="K128" i="1"/>
  <c r="I149" i="1"/>
  <c r="I160" i="1"/>
  <c r="I167" i="1" s="1"/>
  <c r="I199" i="1"/>
  <c r="L156" i="16"/>
  <c r="I195" i="15"/>
  <c r="I177" i="15"/>
  <c r="I186" i="15" s="1"/>
  <c r="I187" i="15" s="1"/>
  <c r="I190" i="15" s="1"/>
  <c r="I181" i="15"/>
  <c r="I182" i="15" s="1"/>
  <c r="I191" i="15" s="1"/>
  <c r="I198" i="15" s="1"/>
  <c r="J163" i="15"/>
  <c r="J165" i="15" s="1"/>
  <c r="J129" i="15"/>
  <c r="I194" i="15"/>
  <c r="I159" i="15"/>
  <c r="I142" i="15"/>
  <c r="M217" i="15"/>
  <c r="M219" i="15" s="1"/>
  <c r="M98" i="15"/>
  <c r="M100" i="15" s="1"/>
  <c r="M105" i="15"/>
  <c r="M108" i="15" s="1"/>
  <c r="M110" i="15" s="1"/>
  <c r="M139" i="15" s="1"/>
  <c r="M157" i="15" s="1"/>
  <c r="I188" i="14"/>
  <c r="I174" i="14"/>
  <c r="I175" i="14" s="1"/>
  <c r="I184" i="14" s="1"/>
  <c r="I191" i="14" s="1"/>
  <c r="I170" i="14"/>
  <c r="I179" i="14" s="1"/>
  <c r="I180" i="14" s="1"/>
  <c r="I183" i="14" s="1"/>
  <c r="J156" i="14"/>
  <c r="J158" i="14" s="1"/>
  <c r="J122" i="14"/>
  <c r="I187" i="14"/>
  <c r="I152" i="14"/>
  <c r="I135" i="14"/>
  <c r="I195" i="16" l="1"/>
  <c r="I177" i="16"/>
  <c r="I186" i="16" s="1"/>
  <c r="I187" i="16" s="1"/>
  <c r="I190" i="16" s="1"/>
  <c r="I181" i="16"/>
  <c r="I182" i="16" s="1"/>
  <c r="I191" i="16" s="1"/>
  <c r="I198" i="16" s="1"/>
  <c r="I142" i="16"/>
  <c r="I159" i="16"/>
  <c r="I194" i="16"/>
  <c r="J163" i="16"/>
  <c r="J165" i="16" s="1"/>
  <c r="J129" i="16"/>
  <c r="I190" i="14"/>
  <c r="I192" i="14" s="1"/>
  <c r="M138" i="15"/>
  <c r="M156" i="15" s="1"/>
  <c r="I197" i="15"/>
  <c r="I199" i="15" s="1"/>
  <c r="K129" i="1"/>
  <c r="K163" i="1"/>
  <c r="K165" i="1" s="1"/>
  <c r="J195" i="1"/>
  <c r="J197" i="1" s="1"/>
  <c r="J181" i="1"/>
  <c r="J182" i="1" s="1"/>
  <c r="J191" i="1" s="1"/>
  <c r="J198" i="1" s="1"/>
  <c r="J177" i="1"/>
  <c r="J186" i="1" s="1"/>
  <c r="J187" i="1" s="1"/>
  <c r="J190" i="1" s="1"/>
  <c r="J142" i="1"/>
  <c r="J159" i="1"/>
  <c r="I160" i="15"/>
  <c r="I167" i="15" s="1"/>
  <c r="I149" i="15"/>
  <c r="J130" i="15"/>
  <c r="J141" i="15" s="1"/>
  <c r="J185" i="15"/>
  <c r="J180" i="15"/>
  <c r="J175" i="15"/>
  <c r="K128" i="15"/>
  <c r="I153" i="14"/>
  <c r="I160" i="14" s="1"/>
  <c r="I142" i="14"/>
  <c r="J123" i="14"/>
  <c r="J134" i="14" s="1"/>
  <c r="J178" i="14"/>
  <c r="J173" i="14"/>
  <c r="J168" i="14"/>
  <c r="K121" i="14"/>
  <c r="J199" i="1" l="1"/>
  <c r="I197" i="16"/>
  <c r="I199" i="16" s="1"/>
  <c r="J130" i="16"/>
  <c r="J141" i="16" s="1"/>
  <c r="K128" i="16"/>
  <c r="J185" i="16"/>
  <c r="J180" i="16"/>
  <c r="J175" i="16"/>
  <c r="I160" i="16"/>
  <c r="I167" i="16" s="1"/>
  <c r="I149" i="16"/>
  <c r="L128" i="1"/>
  <c r="K175" i="1"/>
  <c r="K130" i="1"/>
  <c r="K141" i="1" s="1"/>
  <c r="K180" i="1"/>
  <c r="K185" i="1"/>
  <c r="K194" i="1" s="1"/>
  <c r="J160" i="1"/>
  <c r="J167" i="1" s="1"/>
  <c r="J149" i="1"/>
  <c r="K163" i="15"/>
  <c r="K165" i="15" s="1"/>
  <c r="K129" i="15"/>
  <c r="J159" i="15"/>
  <c r="J142" i="15"/>
  <c r="J195" i="15"/>
  <c r="J177" i="15"/>
  <c r="J186" i="15" s="1"/>
  <c r="J187" i="15" s="1"/>
  <c r="J190" i="15" s="1"/>
  <c r="J181" i="15"/>
  <c r="J182" i="15" s="1"/>
  <c r="J191" i="15" s="1"/>
  <c r="J198" i="15" s="1"/>
  <c r="J194" i="15"/>
  <c r="K156" i="14"/>
  <c r="K158" i="14" s="1"/>
  <c r="K122" i="14"/>
  <c r="J152" i="14"/>
  <c r="J135" i="14"/>
  <c r="J188" i="14"/>
  <c r="J174" i="14"/>
  <c r="J175" i="14" s="1"/>
  <c r="J184" i="14" s="1"/>
  <c r="J191" i="14" s="1"/>
  <c r="J170" i="14"/>
  <c r="J179" i="14" s="1"/>
  <c r="J180" i="14" s="1"/>
  <c r="J183" i="14" s="1"/>
  <c r="J187" i="14"/>
  <c r="J197" i="15" l="1"/>
  <c r="J199" i="15" s="1"/>
  <c r="J195" i="16"/>
  <c r="J177" i="16"/>
  <c r="J186" i="16" s="1"/>
  <c r="J187" i="16" s="1"/>
  <c r="J190" i="16" s="1"/>
  <c r="J181" i="16"/>
  <c r="J182" i="16" s="1"/>
  <c r="J191" i="16" s="1"/>
  <c r="J198" i="16" s="1"/>
  <c r="J194" i="16"/>
  <c r="K163" i="16"/>
  <c r="K165" i="16" s="1"/>
  <c r="K129" i="16"/>
  <c r="J159" i="16"/>
  <c r="J142" i="16"/>
  <c r="K142" i="1"/>
  <c r="K159" i="1"/>
  <c r="L163" i="1"/>
  <c r="L165" i="1" s="1"/>
  <c r="L129" i="1"/>
  <c r="K181" i="1"/>
  <c r="K182" i="1" s="1"/>
  <c r="K191" i="1" s="1"/>
  <c r="K198" i="1" s="1"/>
  <c r="K195" i="1"/>
  <c r="K197" i="1" s="1"/>
  <c r="K177" i="1"/>
  <c r="K186" i="1" s="1"/>
  <c r="K187" i="1" s="1"/>
  <c r="K190" i="1" s="1"/>
  <c r="J160" i="15"/>
  <c r="J167" i="15" s="1"/>
  <c r="J149" i="15"/>
  <c r="K185" i="15"/>
  <c r="K180" i="15"/>
  <c r="L128" i="15"/>
  <c r="K130" i="15"/>
  <c r="K141" i="15" s="1"/>
  <c r="K175" i="15"/>
  <c r="J190" i="14"/>
  <c r="J192" i="14" s="1"/>
  <c r="J153" i="14"/>
  <c r="J160" i="14" s="1"/>
  <c r="J142" i="14"/>
  <c r="K178" i="14"/>
  <c r="K173" i="14"/>
  <c r="L121" i="14"/>
  <c r="K123" i="14"/>
  <c r="K134" i="14" s="1"/>
  <c r="K168" i="14"/>
  <c r="K185" i="16" l="1"/>
  <c r="L128" i="16"/>
  <c r="K175" i="16"/>
  <c r="K130" i="16"/>
  <c r="K141" i="16" s="1"/>
  <c r="K180" i="16"/>
  <c r="J197" i="16"/>
  <c r="J199" i="16" s="1"/>
  <c r="J149" i="16"/>
  <c r="J160" i="16"/>
  <c r="J167" i="16" s="1"/>
  <c r="K199" i="1"/>
  <c r="K160" i="1"/>
  <c r="K167" i="1" s="1"/>
  <c r="K149" i="1"/>
  <c r="L130" i="1"/>
  <c r="L141" i="1" s="1"/>
  <c r="L180" i="1"/>
  <c r="L185" i="1"/>
  <c r="L194" i="1" s="1"/>
  <c r="L175" i="1"/>
  <c r="M128" i="1"/>
  <c r="K195" i="15"/>
  <c r="K181" i="15"/>
  <c r="K182" i="15" s="1"/>
  <c r="K191" i="15" s="1"/>
  <c r="K198" i="15" s="1"/>
  <c r="K177" i="15"/>
  <c r="K186" i="15" s="1"/>
  <c r="K187" i="15" s="1"/>
  <c r="K190" i="15" s="1"/>
  <c r="L163" i="15"/>
  <c r="L165" i="15" s="1"/>
  <c r="L129" i="15"/>
  <c r="K194" i="15"/>
  <c r="K159" i="15"/>
  <c r="K142" i="15"/>
  <c r="K152" i="14"/>
  <c r="K135" i="14"/>
  <c r="K188" i="14"/>
  <c r="K174" i="14"/>
  <c r="K175" i="14" s="1"/>
  <c r="K184" i="14" s="1"/>
  <c r="K191" i="14" s="1"/>
  <c r="K170" i="14"/>
  <c r="K179" i="14" s="1"/>
  <c r="K180" i="14" s="1"/>
  <c r="K183" i="14" s="1"/>
  <c r="L156" i="14"/>
  <c r="L158" i="14" s="1"/>
  <c r="L122" i="14"/>
  <c r="K187" i="14"/>
  <c r="K194" i="16" l="1"/>
  <c r="K159" i="16"/>
  <c r="K142" i="16"/>
  <c r="K177" i="16"/>
  <c r="K186" i="16" s="1"/>
  <c r="K187" i="16" s="1"/>
  <c r="K190" i="16" s="1"/>
  <c r="K195" i="16"/>
  <c r="K181" i="16"/>
  <c r="K182" i="16" s="1"/>
  <c r="K191" i="16" s="1"/>
  <c r="K198" i="16" s="1"/>
  <c r="L129" i="16"/>
  <c r="L163" i="16"/>
  <c r="L165" i="16" s="1"/>
  <c r="K197" i="15"/>
  <c r="K199" i="15" s="1"/>
  <c r="K190" i="14"/>
  <c r="K192" i="14" s="1"/>
  <c r="M129" i="1"/>
  <c r="M163" i="1"/>
  <c r="M165" i="1" s="1"/>
  <c r="L142" i="1"/>
  <c r="L159" i="1"/>
  <c r="L181" i="1"/>
  <c r="L182" i="1" s="1"/>
  <c r="L191" i="1" s="1"/>
  <c r="L198" i="1" s="1"/>
  <c r="L195" i="1"/>
  <c r="L197" i="1" s="1"/>
  <c r="L177" i="1"/>
  <c r="L186" i="1" s="1"/>
  <c r="L187" i="1" s="1"/>
  <c r="L190" i="1" s="1"/>
  <c r="K160" i="15"/>
  <c r="K167" i="15" s="1"/>
  <c r="K149" i="15"/>
  <c r="L130" i="15"/>
  <c r="L141" i="15" s="1"/>
  <c r="L185" i="15"/>
  <c r="L180" i="15"/>
  <c r="L175" i="15"/>
  <c r="M128" i="15"/>
  <c r="L123" i="14"/>
  <c r="L134" i="14" s="1"/>
  <c r="L178" i="14"/>
  <c r="L173" i="14"/>
  <c r="L168" i="14"/>
  <c r="M121" i="14"/>
  <c r="K153" i="14"/>
  <c r="K160" i="14" s="1"/>
  <c r="K142" i="14"/>
  <c r="K197" i="16" l="1"/>
  <c r="K199" i="16" s="1"/>
  <c r="K149" i="16"/>
  <c r="K160" i="16"/>
  <c r="K167" i="16" s="1"/>
  <c r="L130" i="16"/>
  <c r="L141" i="16" s="1"/>
  <c r="L185" i="16"/>
  <c r="L180" i="16"/>
  <c r="M128" i="16"/>
  <c r="L175" i="16"/>
  <c r="L199" i="1"/>
  <c r="L149" i="1"/>
  <c r="L160" i="1"/>
  <c r="L167" i="1" s="1"/>
  <c r="M130" i="1"/>
  <c r="M141" i="1" s="1"/>
  <c r="M185" i="1"/>
  <c r="M194" i="1" s="1"/>
  <c r="M175" i="1"/>
  <c r="M180" i="1"/>
  <c r="M163" i="15"/>
  <c r="M165" i="15" s="1"/>
  <c r="M129" i="15"/>
  <c r="L159" i="15"/>
  <c r="L142" i="15"/>
  <c r="L195" i="15"/>
  <c r="L177" i="15"/>
  <c r="L186" i="15" s="1"/>
  <c r="L187" i="15" s="1"/>
  <c r="L190" i="15" s="1"/>
  <c r="L181" i="15"/>
  <c r="L182" i="15" s="1"/>
  <c r="L191" i="15" s="1"/>
  <c r="L198" i="15" s="1"/>
  <c r="L194" i="15"/>
  <c r="M156" i="14"/>
  <c r="M158" i="14" s="1"/>
  <c r="M122" i="14"/>
  <c r="L152" i="14"/>
  <c r="L135" i="14"/>
  <c r="L188" i="14"/>
  <c r="L174" i="14"/>
  <c r="L175" i="14" s="1"/>
  <c r="L184" i="14" s="1"/>
  <c r="L191" i="14" s="1"/>
  <c r="L170" i="14"/>
  <c r="L179" i="14" s="1"/>
  <c r="L180" i="14" s="1"/>
  <c r="L183" i="14" s="1"/>
  <c r="L187" i="14"/>
  <c r="M163" i="16" l="1"/>
  <c r="M165" i="16" s="1"/>
  <c r="M129" i="16"/>
  <c r="L195" i="16"/>
  <c r="L177" i="16"/>
  <c r="L186" i="16" s="1"/>
  <c r="L187" i="16" s="1"/>
  <c r="L190" i="16" s="1"/>
  <c r="L181" i="16"/>
  <c r="L182" i="16" s="1"/>
  <c r="L191" i="16" s="1"/>
  <c r="L198" i="16" s="1"/>
  <c r="L194" i="16"/>
  <c r="L142" i="16"/>
  <c r="L159" i="16"/>
  <c r="L190" i="14"/>
  <c r="L192" i="14" s="1"/>
  <c r="L197" i="15"/>
  <c r="L199" i="15" s="1"/>
  <c r="M195" i="1"/>
  <c r="M197" i="1" s="1"/>
  <c r="M181" i="1"/>
  <c r="M182" i="1" s="1"/>
  <c r="M191" i="1" s="1"/>
  <c r="M198" i="1" s="1"/>
  <c r="M177" i="1"/>
  <c r="M186" i="1" s="1"/>
  <c r="M187" i="1" s="1"/>
  <c r="M190" i="1" s="1"/>
  <c r="M159" i="1"/>
  <c r="M142" i="1"/>
  <c r="L160" i="15"/>
  <c r="L167" i="15" s="1"/>
  <c r="L149" i="15"/>
  <c r="M185" i="15"/>
  <c r="M180" i="15"/>
  <c r="M130" i="15"/>
  <c r="M141" i="15" s="1"/>
  <c r="M175" i="15"/>
  <c r="L153" i="14"/>
  <c r="L160" i="14" s="1"/>
  <c r="L142" i="14"/>
  <c r="M178" i="14"/>
  <c r="M173" i="14"/>
  <c r="M123" i="14"/>
  <c r="M134" i="14" s="1"/>
  <c r="M168" i="14"/>
  <c r="M199" i="1" l="1"/>
  <c r="L197" i="16"/>
  <c r="L199" i="16" s="1"/>
  <c r="M180" i="16"/>
  <c r="M130" i="16"/>
  <c r="M141" i="16" s="1"/>
  <c r="M175" i="16"/>
  <c r="M185" i="16"/>
  <c r="M194" i="16" s="1"/>
  <c r="L149" i="16"/>
  <c r="L160" i="16"/>
  <c r="L167" i="16" s="1"/>
  <c r="M149" i="1"/>
  <c r="M160" i="1"/>
  <c r="M167" i="1" s="1"/>
  <c r="M159" i="15"/>
  <c r="M142" i="15"/>
  <c r="M194" i="15"/>
  <c r="M195" i="15"/>
  <c r="M181" i="15"/>
  <c r="M182" i="15" s="1"/>
  <c r="M191" i="15" s="1"/>
  <c r="M198" i="15" s="1"/>
  <c r="M177" i="15"/>
  <c r="M186" i="15" s="1"/>
  <c r="M187" i="15" s="1"/>
  <c r="M190" i="15" s="1"/>
  <c r="M188" i="14"/>
  <c r="M174" i="14"/>
  <c r="M175" i="14" s="1"/>
  <c r="M184" i="14" s="1"/>
  <c r="M191" i="14" s="1"/>
  <c r="M170" i="14"/>
  <c r="M179" i="14" s="1"/>
  <c r="M180" i="14" s="1"/>
  <c r="M183" i="14" s="1"/>
  <c r="M152" i="14"/>
  <c r="M135" i="14"/>
  <c r="M187" i="14"/>
  <c r="M195" i="16" l="1"/>
  <c r="M197" i="16" s="1"/>
  <c r="M177" i="16"/>
  <c r="M186" i="16" s="1"/>
  <c r="M187" i="16" s="1"/>
  <c r="M190" i="16" s="1"/>
  <c r="M181" i="16"/>
  <c r="M182" i="16" s="1"/>
  <c r="M191" i="16" s="1"/>
  <c r="M198" i="16" s="1"/>
  <c r="M142" i="16"/>
  <c r="M159" i="16"/>
  <c r="M190" i="14"/>
  <c r="M192" i="14" s="1"/>
  <c r="M197" i="15"/>
  <c r="M199" i="15" s="1"/>
  <c r="M160" i="15"/>
  <c r="M167" i="15" s="1"/>
  <c r="M149" i="15"/>
  <c r="M153" i="14"/>
  <c r="M160" i="14" s="1"/>
  <c r="M142" i="14"/>
  <c r="M149" i="16" l="1"/>
  <c r="M160" i="16"/>
  <c r="M167" i="16" s="1"/>
  <c r="M199" i="16"/>
</calcChain>
</file>

<file path=xl/comments1.xml><?xml version="1.0" encoding="utf-8"?>
<comments xmlns="http://schemas.openxmlformats.org/spreadsheetml/2006/main">
  <authors>
    <author>Ken</author>
    <author>Owner</author>
  </authors>
  <commentList>
    <comment ref="H3" authorId="0" shapeId="0">
      <text>
        <r>
          <rPr>
            <b/>
            <sz val="9"/>
            <color indexed="81"/>
            <rFont val="Tahoma"/>
            <family val="2"/>
          </rPr>
          <t>Ken:</t>
        </r>
        <r>
          <rPr>
            <sz val="9"/>
            <color indexed="81"/>
            <rFont val="Tahoma"/>
            <family val="2"/>
          </rPr>
          <t xml:space="preserve">
Monthly Gross Income
</t>
        </r>
      </text>
    </comment>
    <comment ref="I3" authorId="0" shapeId="0">
      <text>
        <r>
          <rPr>
            <b/>
            <sz val="9"/>
            <color indexed="81"/>
            <rFont val="Tahoma"/>
            <family val="2"/>
          </rPr>
          <t>Ken:</t>
        </r>
        <r>
          <rPr>
            <sz val="9"/>
            <color indexed="81"/>
            <rFont val="Tahoma"/>
            <family val="2"/>
          </rPr>
          <t xml:space="preserve">
Net Operating Income before debt service
</t>
        </r>
      </text>
    </comment>
    <comment ref="K3" authorId="1" shapeId="0">
      <text>
        <r>
          <rPr>
            <b/>
            <sz val="8"/>
            <color indexed="81"/>
            <rFont val="Tahoma"/>
            <family val="2"/>
          </rPr>
          <t>Owner:</t>
        </r>
        <r>
          <rPr>
            <sz val="8"/>
            <color indexed="81"/>
            <rFont val="Tahoma"/>
            <family val="2"/>
          </rPr>
          <t xml:space="preserve">
Return % wise on money invested (down payment + closing costs)
</t>
        </r>
      </text>
    </comment>
  </commentList>
</comments>
</file>

<file path=xl/comments2.xml><?xml version="1.0" encoding="utf-8"?>
<comments xmlns="http://schemas.openxmlformats.org/spreadsheetml/2006/main">
  <authors>
    <author>Ken</author>
  </authors>
  <commentList>
    <comment ref="C25" authorId="0" shapeId="0">
      <text>
        <r>
          <rPr>
            <b/>
            <sz val="9"/>
            <color indexed="81"/>
            <rFont val="Tahoma"/>
            <family val="2"/>
          </rPr>
          <t>Ken:</t>
        </r>
        <r>
          <rPr>
            <sz val="9"/>
            <color indexed="81"/>
            <rFont val="Tahoma"/>
            <family val="2"/>
          </rPr>
          <t xml:space="preserve">
Ridiculously low price but man has been renting nearly 30 years in this building, and only visits from CT one weekend per month on average. We've fixed one leak in the tub drain in the nearly 10 years we've owned it … that's the ONLY service call.  
</t>
        </r>
      </text>
    </comment>
  </commentList>
</comments>
</file>

<file path=xl/sharedStrings.xml><?xml version="1.0" encoding="utf-8"?>
<sst xmlns="http://schemas.openxmlformats.org/spreadsheetml/2006/main" count="1291" uniqueCount="244">
  <si>
    <t>Property Address:</t>
  </si>
  <si>
    <t>Purchase Price:</t>
  </si>
  <si>
    <t>Down Payment:</t>
  </si>
  <si>
    <t>Interest Rate on Loan:</t>
  </si>
  <si>
    <t>%</t>
  </si>
  <si>
    <t>Term of Loan:</t>
  </si>
  <si>
    <t>yrs.</t>
  </si>
  <si>
    <t>Improvement Ratio:</t>
  </si>
  <si>
    <t>No. Yrs. of Depreciation:</t>
  </si>
  <si>
    <t xml:space="preserve">    Insurance:</t>
  </si>
  <si>
    <t xml:space="preserve">    Electricity:</t>
  </si>
  <si>
    <t xml:space="preserve">    Gas:</t>
  </si>
  <si>
    <t xml:space="preserve">    Oil:</t>
  </si>
  <si>
    <t xml:space="preserve">    Water:</t>
  </si>
  <si>
    <t xml:space="preserve">    Management:</t>
  </si>
  <si>
    <t xml:space="preserve">    Advertising:</t>
  </si>
  <si>
    <t xml:space="preserve">    Telephone:</t>
  </si>
  <si>
    <t xml:space="preserve">    Other:</t>
  </si>
  <si>
    <t>Annual Appreciation Rate:</t>
  </si>
  <si>
    <t>Investor's Tax Bracket:</t>
  </si>
  <si>
    <t>Capital Gain Tax Rate:</t>
  </si>
  <si>
    <t>ACQUISITION DATA</t>
  </si>
  <si>
    <t>Price</t>
  </si>
  <si>
    <t>Interest %</t>
  </si>
  <si>
    <t>Land</t>
  </si>
  <si>
    <t>Dn. Pymt.</t>
  </si>
  <si>
    <t>No. Yrs.</t>
  </si>
  <si>
    <t>Improvement</t>
  </si>
  <si>
    <t>Loan Amt.</t>
  </si>
  <si>
    <t>Mo. P &amp; I</t>
  </si>
  <si>
    <t>Buy Costs</t>
  </si>
  <si>
    <t>Yr. P &amp; I</t>
  </si>
  <si>
    <t>Yr. Depr.</t>
  </si>
  <si>
    <t>Cap Impr.</t>
  </si>
  <si>
    <t>ANNUAL OPERATING INCOME</t>
  </si>
  <si>
    <t>EFFECTIVE GROSS INCOME</t>
  </si>
  <si>
    <t>ANNUAL OPERATING EXPENSES</t>
  </si>
  <si>
    <t>Insurance</t>
  </si>
  <si>
    <t>Electricity</t>
  </si>
  <si>
    <t>Gas</t>
  </si>
  <si>
    <t>Oil</t>
  </si>
  <si>
    <t>Water</t>
  </si>
  <si>
    <t>Management</t>
  </si>
  <si>
    <t>Repairs/Maintenance</t>
  </si>
  <si>
    <t>Advertising</t>
  </si>
  <si>
    <t>Telephone</t>
  </si>
  <si>
    <t>Other</t>
  </si>
  <si>
    <t>TOTAL OPERATING EXPENSES</t>
  </si>
  <si>
    <t>NET OPERATING INCOME</t>
  </si>
  <si>
    <t>CASH FLOW (BEFORE TAXES)</t>
  </si>
  <si>
    <t>Net Operating Income</t>
  </si>
  <si>
    <t xml:space="preserve"> -Yrly. P &amp; I</t>
  </si>
  <si>
    <t>TAX BENEFIT</t>
  </si>
  <si>
    <t xml:space="preserve"> -Annual Interest</t>
  </si>
  <si>
    <t xml:space="preserve"> -Annual Depreciation</t>
  </si>
  <si>
    <t>Taxable Income</t>
  </si>
  <si>
    <t>x Investor's Tax Bracket</t>
  </si>
  <si>
    <t xml:space="preserve">    (Internal mathematical</t>
  </si>
  <si>
    <t xml:space="preserve">     calculations - Ignore</t>
  </si>
  <si>
    <t xml:space="preserve">     these three rows)</t>
  </si>
  <si>
    <t>End of Year Value</t>
  </si>
  <si>
    <t>Cash Flow (Before Taxes)</t>
  </si>
  <si>
    <t>Tax Benefit</t>
  </si>
  <si>
    <t>Debt Reduction</t>
  </si>
  <si>
    <t>Appreciation</t>
  </si>
  <si>
    <t xml:space="preserve">$ RETURN ON INITIAL EQUITY </t>
  </si>
  <si>
    <t>INITIAL EQUITY:</t>
  </si>
  <si>
    <t>Down Payment</t>
  </si>
  <si>
    <t>% RETURN ON INITIAL EQUITY</t>
  </si>
  <si>
    <t>$ RETURN ON TOTAL EQUITY</t>
  </si>
  <si>
    <t>TOTAL EQUITY:</t>
  </si>
  <si>
    <t>Begining of Year Balance</t>
  </si>
  <si>
    <t>TOTAL EQUITY</t>
  </si>
  <si>
    <t>% RETURN ON TOTAL EQUITY</t>
  </si>
  <si>
    <t>ADJUSTED COST BASIS</t>
  </si>
  <si>
    <t>Original Basis</t>
  </si>
  <si>
    <t>+ Capital Improvements`</t>
  </si>
  <si>
    <t>+ Sales Costs</t>
  </si>
  <si>
    <t>- Accum. Depreciation</t>
  </si>
  <si>
    <t>= ADJUSTED COST BASIS</t>
  </si>
  <si>
    <t>Sales Price</t>
  </si>
  <si>
    <t>- Adjusted Cost Basis</t>
  </si>
  <si>
    <t>CAPITAL GAIN TAX</t>
  </si>
  <si>
    <t>= Tax on Capital Gain</t>
  </si>
  <si>
    <t>- Sales Costs</t>
  </si>
  <si>
    <t>- Ending Loan Balance</t>
  </si>
  <si>
    <t>= Proceeds Before Taxes</t>
  </si>
  <si>
    <t>- Capital Gain Tax</t>
  </si>
  <si>
    <t>= EST NET SALE PROCEEDS A/T</t>
  </si>
  <si>
    <t>÷ Debt Service (Yr. P &amp; I)</t>
  </si>
  <si>
    <t>Date:</t>
  </si>
  <si>
    <t>Prepared For:</t>
  </si>
  <si>
    <t>Prepared By:</t>
  </si>
  <si>
    <t>Anyone using or relying on this report is advised to seek competent legal, financial, and/or tax advice.</t>
  </si>
  <si>
    <t>This report is based on certain assumptions.The projections are estimates only</t>
  </si>
  <si>
    <t xml:space="preserve">   Property taxes :</t>
  </si>
  <si>
    <t>(Annual Operating Expenses)</t>
  </si>
  <si>
    <t>Scheduled Annual Gross Income:</t>
  </si>
  <si>
    <t>Property Taxes</t>
  </si>
  <si>
    <t>REAL ESTATE INVESTMENT ANALYSIS</t>
  </si>
  <si>
    <t xml:space="preserve">    ---------</t>
  </si>
  <si>
    <t>p.a.</t>
  </si>
  <si>
    <t>of total</t>
  </si>
  <si>
    <t>RESULTS</t>
  </si>
  <si>
    <t>MORTGAGE PRINCIPAL REDUCTION</t>
  </si>
  <si>
    <t>TOTAL PRINCIPAL REDUCTION</t>
  </si>
  <si>
    <t>FINANCIAL ANALYSIS</t>
  </si>
  <si>
    <t>ESTIMATED SALE PROCEEDS (AFTER EXPENSES &amp; TAXES)</t>
  </si>
  <si>
    <t>You, The XXXr Co. (xxx)xxx-xxxx</t>
  </si>
  <si>
    <t xml:space="preserve"> DEBT SERVICE COVERAGE RATIO (DSC)</t>
  </si>
  <si>
    <t>DSC</t>
  </si>
  <si>
    <t>RETURN ON TOTAL EQUITY  (Assume Total Equity = Start of Year Value - Start of Year Loan Balance)</t>
  </si>
  <si>
    <t>Start of Year Value</t>
  </si>
  <si>
    <t xml:space="preserve">    Trash:</t>
  </si>
  <si>
    <t>% of income</t>
  </si>
  <si>
    <t>% p.a.</t>
  </si>
  <si>
    <t>Yr.1</t>
  </si>
  <si>
    <t>Yr. 2</t>
  </si>
  <si>
    <t>Yr. 3</t>
  </si>
  <si>
    <t>Yr. 4</t>
  </si>
  <si>
    <t>Yr. 5</t>
  </si>
  <si>
    <t>Yr. 6</t>
  </si>
  <si>
    <t>Yr. 7</t>
  </si>
  <si>
    <t>Yr. 8</t>
  </si>
  <si>
    <t>Yr. 9</t>
  </si>
  <si>
    <t>Yr. 10</t>
  </si>
  <si>
    <t>(Increase in expenses)</t>
  </si>
  <si>
    <t>Increase in income</t>
  </si>
  <si>
    <t>Expected Gross Income</t>
  </si>
  <si>
    <t>less Vacancy/Collection losses</t>
  </si>
  <si>
    <t>Vacancy/Collection losses:</t>
  </si>
  <si>
    <t>Annual Increase of Income:</t>
  </si>
  <si>
    <t>Annual Increase of Expenses:</t>
  </si>
  <si>
    <t>Expected Capital Improvements:</t>
  </si>
  <si>
    <t>Approx. Buying Costs:</t>
  </si>
  <si>
    <t>Approx. Sales Costs:</t>
  </si>
  <si>
    <t>LOAN DATA</t>
  </si>
  <si>
    <t xml:space="preserve">DEPRECIATION </t>
  </si>
  <si>
    <t>(EGI)</t>
  </si>
  <si>
    <t>Trash</t>
  </si>
  <si>
    <t>Op. Expenses as %age of income</t>
  </si>
  <si>
    <t>(NOI) excluding financing costs</t>
  </si>
  <si>
    <t>Yr. 1</t>
  </si>
  <si>
    <t>EST. NET SALE PROCEEDS (after tax)</t>
  </si>
  <si>
    <t xml:space="preserve">PROPERTY APPRECIATION </t>
  </si>
  <si>
    <t xml:space="preserve"> -End of Yr. Balance</t>
  </si>
  <si>
    <t>Start of Yr. Balance</t>
  </si>
  <si>
    <t>(Increase)</t>
  </si>
  <si>
    <t>TOTAL ANNUAL APPRECIATION</t>
  </si>
  <si>
    <t>RETURN ON INITIAL EQUITY  (Assume Initial Equity = Down Payment + Capital Improvement)</t>
  </si>
  <si>
    <t>Capital Improvement</t>
  </si>
  <si>
    <t>TOTAL INITIAL EQUITY</t>
  </si>
  <si>
    <t>Beginning of Year Value inc. Cap. Imp.</t>
  </si>
  <si>
    <t>This Excel worksheet has been provided free of charge by Mortgage-Investments.com, Inc.</t>
  </si>
  <si>
    <t xml:space="preserve">This spreadsheet is copyright of Mortgage-Investments.Com, Inc. </t>
  </si>
  <si>
    <r>
      <t xml:space="preserve">but you are invited to </t>
    </r>
    <r>
      <rPr>
        <b/>
        <sz val="10"/>
        <rFont val="Arial"/>
        <family val="2"/>
      </rPr>
      <t>forward this spreadsheet to friends and collegues</t>
    </r>
    <r>
      <rPr>
        <sz val="10"/>
        <rFont val="Arial"/>
        <family val="2"/>
      </rPr>
      <t xml:space="preserve"> intact, including the information above.</t>
    </r>
  </si>
  <si>
    <t>CGT Rate on Recaptured Depreciation</t>
  </si>
  <si>
    <t>%age of building to total property value</t>
  </si>
  <si>
    <t>Mortgage-Investments.com</t>
  </si>
  <si>
    <t>Click our link for more free stuff, including a library of useful real estate</t>
  </si>
  <si>
    <t>and mortgage forms and a financial calculator with a tutorial on how to do creative financial calculations.</t>
  </si>
  <si>
    <t>Click our link above for more free stuff, including a library of useful real estate</t>
  </si>
  <si>
    <r>
      <t xml:space="preserve">Mortgage-Investments.com, Inc. are the only </t>
    </r>
    <r>
      <rPr>
        <b/>
        <sz val="10"/>
        <rFont val="Arial"/>
        <family val="2"/>
      </rPr>
      <t>National Multiple Listing Service for Private Mortgages</t>
    </r>
  </si>
  <si>
    <t>This spreadsheet is copyright of Mortgage-Investments.Com, Inc. but you are invited</t>
  </si>
  <si>
    <r>
      <t xml:space="preserve">to </t>
    </r>
    <r>
      <rPr>
        <b/>
        <sz val="10"/>
        <rFont val="Arial"/>
        <family val="2"/>
      </rPr>
      <t>forward this spreadsheet to friends and collegues</t>
    </r>
    <r>
      <rPr>
        <sz val="10"/>
        <rFont val="Arial"/>
        <family val="2"/>
      </rPr>
      <t xml:space="preserve"> intact, including the information above.</t>
    </r>
  </si>
  <si>
    <t>Mortgage-Investments.Com</t>
  </si>
  <si>
    <t>Return on equity includes appreciation, principal reduction and tax benefit.</t>
  </si>
  <si>
    <t>This varies depending on the tax payer.</t>
  </si>
  <si>
    <t>39.5 years for commercial.</t>
  </si>
  <si>
    <t>yrs. Straightline for residential.</t>
  </si>
  <si>
    <t>CAPITAL GAIN for tax purposes</t>
  </si>
  <si>
    <t>True CAPITAL GAIN</t>
  </si>
  <si>
    <t>Non adjusted cost</t>
  </si>
  <si>
    <t>True Gain or loss</t>
  </si>
  <si>
    <t>You must hold the property for a year and a day to qualify for long term capital gains tax treatment.</t>
  </si>
  <si>
    <t>Capital Gain for tax purposes</t>
  </si>
  <si>
    <t>CAPITAL GAIN (tax purposes)</t>
  </si>
  <si>
    <t>Enter your numbers in the yellow background boxes only.</t>
  </si>
  <si>
    <t>Some of the columns may show ###### when dealing with a high value property (over $1m.) Just divide your entries by 1,000. This makes the results easier to read too!</t>
  </si>
  <si>
    <t>(Page 2 of 7)</t>
  </si>
  <si>
    <t>(Page 3 of 7)</t>
  </si>
  <si>
    <t>(Page 1 of 7)</t>
  </si>
  <si>
    <t>(Page 5 of 7)</t>
  </si>
  <si>
    <t>(Page 7 of 7)</t>
  </si>
  <si>
    <t>Units</t>
  </si>
  <si>
    <t>ROIE</t>
  </si>
  <si>
    <t>COC</t>
  </si>
  <si>
    <t>CF</t>
  </si>
  <si>
    <t>ROE</t>
  </si>
  <si>
    <t>Pellets</t>
  </si>
  <si>
    <t>TOTALS</t>
  </si>
  <si>
    <t>169 Silver</t>
  </si>
  <si>
    <t>(actual 5,690)</t>
  </si>
  <si>
    <t>2 BR</t>
  </si>
  <si>
    <t>3 BR</t>
  </si>
  <si>
    <t>1 BR</t>
  </si>
  <si>
    <t>current</t>
  </si>
  <si>
    <t>60 Pleasant</t>
  </si>
  <si>
    <t>28 Pleasant</t>
  </si>
  <si>
    <t>Net Net income</t>
  </si>
  <si>
    <t>Vacancy add-back</t>
  </si>
  <si>
    <t>MGI</t>
  </si>
  <si>
    <t>AGI</t>
  </si>
  <si>
    <t>C. Flow</t>
  </si>
  <si>
    <t>NOI</t>
  </si>
  <si>
    <t>DWN PMT</t>
  </si>
  <si>
    <t>D.SRV</t>
  </si>
  <si>
    <t>g</t>
  </si>
  <si>
    <t>W/0% VAC</t>
  </si>
  <si>
    <t>L</t>
  </si>
  <si>
    <t>% of income: If self managing, change to 0%</t>
  </si>
  <si>
    <t>W/5% VAC</t>
  </si>
  <si>
    <t>DEFINITIONS FOR PURPOSE OF THIS SHEET</t>
  </si>
  <si>
    <t>Cash flow: Net cash flow after all expenses including mortgage, divided by down payments &amp; buying costs</t>
  </si>
  <si>
    <t>ROE: Return on equity. Cash flow + appreciation + tax benefit of depreciation + deb amortization divided by down payemnts &amp; buying costs</t>
  </si>
  <si>
    <t>Purchase $</t>
  </si>
  <si>
    <t>17 Boutelle</t>
  </si>
  <si>
    <t>CAP RATE</t>
  </si>
  <si>
    <t>TOTAL PORTFOLIO RETURN MINIMUM BASED ON 5% VACANCY AND HIRED MANAGEMENT</t>
  </si>
  <si>
    <t>laundry</t>
  </si>
  <si>
    <t>2r</t>
  </si>
  <si>
    <t>2f</t>
  </si>
  <si>
    <t>*FIGURES ASSUME THAT OWNER 100% OUTSOURCES MANAGEMENT. Change all mgmt. fields to 0% if self managing. The result will flow through to this page</t>
  </si>
  <si>
    <t>CAP</t>
  </si>
  <si>
    <t>MGT $</t>
  </si>
  <si>
    <t>Mgt $</t>
  </si>
  <si>
    <t>&lt;&lt;Not including optional CAPEX set aside</t>
  </si>
  <si>
    <t>potential</t>
  </si>
  <si>
    <t>TAB</t>
  </si>
  <si>
    <t>ADDRESS</t>
  </si>
  <si>
    <t>Annual CF</t>
  </si>
  <si>
    <t>RETURN ON INVESTMENT (inc. cash flow, appreciation, debt paydown and tax benefit of depreciation, if any)</t>
  </si>
  <si>
    <t>1%/2% RULE</t>
  </si>
  <si>
    <t>30 year tenant in 2BR #7, uses one weekend per month so we left his rent super low. Both 2BRs (1 &amp; 3) are $100 less than market value, as are both 3BR's ($50-$100 less than market value)</t>
  </si>
  <si>
    <t xml:space="preserve">   10% rep &amp; maint. / 5% capex</t>
  </si>
  <si>
    <t>CURRENT</t>
  </si>
  <si>
    <t>Dollar amount of 5% vacancy for calculations</t>
  </si>
  <si>
    <t>Projected cash flow with full 5% vacancy, 8% management and 15% combined repairs / capex</t>
  </si>
  <si>
    <t>Self Managed Total</t>
  </si>
  <si>
    <t>Net Income</t>
  </si>
  <si>
    <t>Net Income w/8% mgmt fee</t>
  </si>
  <si>
    <t>Net Income w/8% mgmt fee/no mortgages</t>
  </si>
  <si>
    <t>&lt;&lt;==represents ROC for all cash deal, self managed</t>
  </si>
  <si>
    <t>(Our lock in for 2022-2023)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</si>
</sst>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
    <numFmt numFmtId="166" formatCode="0.0%"/>
  </numFmts>
  <fonts count="26" x14ac:knownFonts="1">
    <font>
      <sz val="10"/>
      <name val="Courier"/>
    </font>
    <font>
      <u/>
      <sz val="10"/>
      <color indexed="12"/>
      <name val="Courier"/>
      <family val="3"/>
    </font>
    <font>
      <sz val="10"/>
      <name val="Arial"/>
      <family val="2"/>
    </font>
    <font>
      <u/>
      <sz val="10"/>
      <color indexed="12"/>
      <name val="Arial"/>
      <family val="2"/>
    </font>
    <font>
      <u/>
      <sz val="10"/>
      <name val="Arial"/>
      <family val="2"/>
    </font>
    <font>
      <b/>
      <sz val="10"/>
      <name val="Arial"/>
      <family val="2"/>
    </font>
    <font>
      <sz val="10"/>
      <color indexed="8"/>
      <name val="Arial"/>
      <family val="2"/>
    </font>
    <font>
      <u/>
      <sz val="10"/>
      <color indexed="8"/>
      <name val="Courier"/>
      <family val="3"/>
    </font>
    <font>
      <sz val="8"/>
      <color indexed="81"/>
      <name val="Tahoma"/>
      <family val="2"/>
    </font>
    <font>
      <b/>
      <sz val="8"/>
      <color indexed="81"/>
      <name val="Tahoma"/>
      <family val="2"/>
    </font>
    <font>
      <sz val="11"/>
      <color rgb="FF1F497D"/>
      <name val="Calibri"/>
      <family val="2"/>
    </font>
    <font>
      <sz val="10"/>
      <color rgb="FFFF0000"/>
      <name val="Arial"/>
      <family val="2"/>
    </font>
    <font>
      <sz val="10"/>
      <color theme="6" tint="-0.249977111117893"/>
      <name val="Arial"/>
      <family val="2"/>
    </font>
    <font>
      <sz val="10"/>
      <color theme="9" tint="-0.249977111117893"/>
      <name val="Arial"/>
      <family val="2"/>
    </font>
    <font>
      <b/>
      <sz val="10"/>
      <color rgb="FFFF0000"/>
      <name val="Verdana"/>
      <family val="2"/>
    </font>
    <font>
      <sz val="10"/>
      <color rgb="FFFF0000"/>
      <name val="Verdana"/>
      <family val="2"/>
    </font>
    <font>
      <b/>
      <sz val="10"/>
      <name val="Verdana"/>
      <family val="2"/>
    </font>
    <font>
      <b/>
      <sz val="10"/>
      <color theme="1"/>
      <name val="Verdana"/>
      <family val="2"/>
    </font>
    <font>
      <sz val="10"/>
      <color theme="1"/>
      <name val="Verdana"/>
      <family val="2"/>
    </font>
    <font>
      <sz val="10"/>
      <name val="Verdana"/>
      <family val="2"/>
    </font>
    <font>
      <sz val="10"/>
      <color rgb="FF00B050"/>
      <name val="Arial"/>
      <family val="2"/>
    </font>
    <font>
      <sz val="9"/>
      <color indexed="81"/>
      <name val="Tahoma"/>
      <family val="2"/>
    </font>
    <font>
      <b/>
      <sz val="9"/>
      <color indexed="81"/>
      <name val="Tahoma"/>
      <family val="2"/>
    </font>
    <font>
      <u/>
      <sz val="10"/>
      <color rgb="FFFF0000"/>
      <name val="Arial"/>
      <family val="2"/>
    </font>
    <font>
      <sz val="10"/>
      <color rgb="FFFF0000"/>
      <name val="Courier"/>
    </font>
    <font>
      <sz val="10"/>
      <color theme="1"/>
      <name val="Arial"/>
      <family val="2"/>
    </font>
  </fonts>
  <fills count="6">
    <fill>
      <patternFill patternType="none"/>
    </fill>
    <fill>
      <patternFill patternType="gray125"/>
    </fill>
    <fill>
      <patternFill patternType="solid">
        <fgColor indexed="26"/>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03">
    <xf numFmtId="0" fontId="0" fillId="0" borderId="0" xfId="0"/>
    <xf numFmtId="0" fontId="2" fillId="0" borderId="0" xfId="0" applyFont="1" applyProtection="1">
      <protection locked="0"/>
    </xf>
    <xf numFmtId="0" fontId="2" fillId="0" borderId="0" xfId="0" applyFont="1" applyAlignment="1" applyProtection="1">
      <alignment horizontal="left"/>
      <protection locked="0"/>
    </xf>
    <xf numFmtId="0" fontId="2" fillId="0" borderId="0" xfId="0" applyFont="1" applyAlignment="1" applyProtection="1">
      <alignment shrinkToFit="1"/>
      <protection locked="0"/>
    </xf>
    <xf numFmtId="0" fontId="2" fillId="0" borderId="0" xfId="0" applyFont="1" applyAlignment="1" applyProtection="1">
      <alignment horizontal="left" shrinkToFit="1"/>
      <protection locked="0"/>
    </xf>
    <xf numFmtId="3" fontId="2" fillId="2" borderId="0" xfId="0" applyNumberFormat="1" applyFont="1" applyFill="1" applyAlignment="1" applyProtection="1">
      <alignment shrinkToFit="1"/>
      <protection locked="0"/>
    </xf>
    <xf numFmtId="2" fontId="2" fillId="2" borderId="0" xfId="0" applyNumberFormat="1" applyFont="1" applyFill="1" applyAlignment="1" applyProtection="1">
      <alignment shrinkToFit="1"/>
      <protection locked="0"/>
    </xf>
    <xf numFmtId="0" fontId="2" fillId="2" borderId="0" xfId="0" applyFont="1" applyFill="1" applyAlignment="1" applyProtection="1">
      <alignment shrinkToFit="1"/>
      <protection locked="0"/>
    </xf>
    <xf numFmtId="2" fontId="2" fillId="2" borderId="0" xfId="0" applyNumberFormat="1" applyFont="1" applyFill="1" applyProtection="1">
      <protection locked="0"/>
    </xf>
    <xf numFmtId="3" fontId="2" fillId="2" borderId="0" xfId="0" applyNumberFormat="1" applyFont="1" applyFill="1" applyProtection="1">
      <protection locked="0"/>
    </xf>
    <xf numFmtId="3" fontId="2" fillId="2" borderId="0" xfId="0" applyNumberFormat="1" applyFont="1" applyFill="1" applyAlignment="1" applyProtection="1">
      <alignment shrinkToFit="1"/>
    </xf>
    <xf numFmtId="14" fontId="2" fillId="0" borderId="0" xfId="0" applyNumberFormat="1" applyFont="1" applyAlignment="1" applyProtection="1">
      <alignment shrinkToFit="1"/>
    </xf>
    <xf numFmtId="0" fontId="2" fillId="0" borderId="0" xfId="0" applyFont="1" applyProtection="1"/>
    <xf numFmtId="3" fontId="2" fillId="0" borderId="0" xfId="0" applyNumberFormat="1" applyFont="1" applyProtection="1"/>
    <xf numFmtId="10" fontId="2" fillId="0" borderId="0" xfId="0" applyNumberFormat="1" applyFont="1" applyAlignment="1" applyProtection="1">
      <alignment shrinkToFit="1"/>
    </xf>
    <xf numFmtId="0" fontId="2" fillId="0" borderId="0" xfId="0" applyFont="1" applyAlignment="1" applyProtection="1">
      <alignment shrinkToFit="1"/>
    </xf>
    <xf numFmtId="3" fontId="2" fillId="0" borderId="0" xfId="0" applyNumberFormat="1" applyFont="1" applyAlignment="1" applyProtection="1">
      <alignment shrinkToFit="1"/>
    </xf>
    <xf numFmtId="9" fontId="2" fillId="0" borderId="0" xfId="0" applyNumberFormat="1" applyFont="1" applyProtection="1"/>
    <xf numFmtId="10" fontId="2" fillId="0" borderId="0" xfId="0" applyNumberFormat="1" applyFont="1" applyProtection="1"/>
    <xf numFmtId="1" fontId="2" fillId="0" borderId="0" xfId="0" applyNumberFormat="1" applyFont="1" applyAlignment="1" applyProtection="1">
      <alignment shrinkToFit="1"/>
    </xf>
    <xf numFmtId="2" fontId="2" fillId="0" borderId="0" xfId="0" applyNumberFormat="1" applyFont="1" applyAlignment="1" applyProtection="1">
      <alignment shrinkToFit="1"/>
    </xf>
    <xf numFmtId="3" fontId="4" fillId="0" borderId="0" xfId="0" applyNumberFormat="1" applyFont="1" applyAlignment="1" applyProtection="1">
      <alignment shrinkToFit="1"/>
    </xf>
    <xf numFmtId="14" fontId="2" fillId="0" borderId="0" xfId="0" applyNumberFormat="1" applyFont="1" applyProtection="1"/>
    <xf numFmtId="0" fontId="0" fillId="0" borderId="0" xfId="0" applyProtection="1">
      <protection locked="0"/>
    </xf>
    <xf numFmtId="0" fontId="7" fillId="0" borderId="0" xfId="1" applyFont="1" applyAlignment="1" applyProtection="1">
      <protection locked="0"/>
    </xf>
    <xf numFmtId="0" fontId="6" fillId="0" borderId="0" xfId="0" applyFont="1" applyProtection="1">
      <protection locked="0"/>
    </xf>
    <xf numFmtId="0" fontId="3" fillId="0" borderId="0" xfId="1" applyFont="1" applyAlignment="1" applyProtection="1">
      <protection locked="0"/>
    </xf>
    <xf numFmtId="14" fontId="2" fillId="0" borderId="0" xfId="0" applyNumberFormat="1" applyFont="1" applyProtection="1">
      <protection locked="0"/>
    </xf>
    <xf numFmtId="0" fontId="0" fillId="0" borderId="0" xfId="0" applyAlignment="1" applyProtection="1">
      <alignment shrinkToFit="1"/>
      <protection locked="0"/>
    </xf>
    <xf numFmtId="0" fontId="2" fillId="0" borderId="0" xfId="0" applyFont="1" applyAlignment="1" applyProtection="1">
      <protection locked="0"/>
    </xf>
    <xf numFmtId="0" fontId="2" fillId="0" borderId="0" xfId="0" applyFont="1" applyAlignment="1" applyProtection="1">
      <alignment horizontal="right"/>
      <protection locked="0"/>
    </xf>
    <xf numFmtId="0" fontId="2" fillId="0" borderId="0" xfId="0" applyFont="1" applyAlignment="1" applyProtection="1">
      <alignment horizontal="right" shrinkToFit="1"/>
      <protection locked="0"/>
    </xf>
    <xf numFmtId="3" fontId="2" fillId="0" borderId="0" xfId="0" applyNumberFormat="1" applyFont="1" applyAlignment="1" applyProtection="1">
      <alignment shrinkToFit="1"/>
      <protection locked="0"/>
    </xf>
    <xf numFmtId="10" fontId="2" fillId="0" borderId="0" xfId="0" applyNumberFormat="1" applyFont="1" applyAlignment="1" applyProtection="1">
      <alignment shrinkToFit="1"/>
      <protection locked="0"/>
    </xf>
    <xf numFmtId="0" fontId="0" fillId="0" borderId="0" xfId="0" applyAlignment="1" applyProtection="1">
      <alignment horizontal="left"/>
      <protection locked="0"/>
    </xf>
    <xf numFmtId="0" fontId="1" fillId="0" borderId="0" xfId="1" applyAlignment="1" applyProtection="1">
      <protection locked="0"/>
    </xf>
    <xf numFmtId="0" fontId="0" fillId="0" borderId="0" xfId="0" applyProtection="1"/>
    <xf numFmtId="0" fontId="0" fillId="0" borderId="0" xfId="0" applyAlignment="1" applyProtection="1">
      <alignment shrinkToFit="1"/>
    </xf>
    <xf numFmtId="3" fontId="2" fillId="0" borderId="0" xfId="0" applyNumberFormat="1" applyFont="1" applyProtection="1">
      <protection locked="0"/>
    </xf>
    <xf numFmtId="10" fontId="2" fillId="0" borderId="0" xfId="0" applyNumberFormat="1" applyFont="1" applyProtection="1">
      <protection locked="0"/>
    </xf>
    <xf numFmtId="0" fontId="11" fillId="0" borderId="0" xfId="0" applyFont="1" applyProtection="1">
      <protection locked="0"/>
    </xf>
    <xf numFmtId="0" fontId="12" fillId="0" borderId="0" xfId="0" applyFont="1" applyProtection="1">
      <protection locked="0"/>
    </xf>
    <xf numFmtId="0" fontId="13" fillId="0" borderId="0" xfId="0" applyFont="1" applyProtection="1">
      <protection locked="0"/>
    </xf>
    <xf numFmtId="0" fontId="5" fillId="0" borderId="0" xfId="0" applyFont="1" applyProtection="1">
      <protection locked="0"/>
    </xf>
    <xf numFmtId="0" fontId="14" fillId="0" borderId="0" xfId="0" applyFont="1"/>
    <xf numFmtId="0" fontId="15" fillId="0" borderId="0" xfId="0" applyFont="1"/>
    <xf numFmtId="1" fontId="15" fillId="0" borderId="0" xfId="0" applyNumberFormat="1" applyFont="1"/>
    <xf numFmtId="9" fontId="15" fillId="0" borderId="0" xfId="0" applyNumberFormat="1" applyFont="1"/>
    <xf numFmtId="3" fontId="15" fillId="0" borderId="0" xfId="0" applyNumberFormat="1" applyFont="1"/>
    <xf numFmtId="3" fontId="16" fillId="0" borderId="0" xfId="0" applyNumberFormat="1" applyFont="1"/>
    <xf numFmtId="3" fontId="14" fillId="0" borderId="0" xfId="0" applyNumberFormat="1" applyFont="1"/>
    <xf numFmtId="0" fontId="17" fillId="0" borderId="0" xfId="0" applyFont="1"/>
    <xf numFmtId="0" fontId="18" fillId="0" borderId="0" xfId="0" applyFont="1"/>
    <xf numFmtId="3" fontId="18" fillId="0" borderId="0" xfId="0" applyNumberFormat="1" applyFont="1"/>
    <xf numFmtId="9" fontId="18" fillId="0" borderId="0" xfId="0" applyNumberFormat="1" applyFont="1"/>
    <xf numFmtId="164" fontId="17" fillId="0" borderId="0" xfId="0" applyNumberFormat="1" applyFont="1"/>
    <xf numFmtId="1" fontId="18" fillId="0" borderId="0" xfId="0" applyNumberFormat="1" applyFont="1"/>
    <xf numFmtId="3" fontId="17" fillId="0" borderId="0" xfId="0" applyNumberFormat="1" applyFont="1"/>
    <xf numFmtId="1" fontId="17" fillId="0" borderId="0" xfId="0" applyNumberFormat="1" applyFont="1"/>
    <xf numFmtId="0" fontId="19" fillId="0" borderId="0" xfId="0" applyFont="1"/>
    <xf numFmtId="10" fontId="17" fillId="0" borderId="0" xfId="0" applyNumberFormat="1" applyFont="1"/>
    <xf numFmtId="0" fontId="16" fillId="0" borderId="0" xfId="0" applyFont="1"/>
    <xf numFmtId="164" fontId="16" fillId="0" borderId="0" xfId="0" applyNumberFormat="1" applyFont="1"/>
    <xf numFmtId="3" fontId="19" fillId="0" borderId="0" xfId="0" applyNumberFormat="1" applyFont="1"/>
    <xf numFmtId="0" fontId="19" fillId="0" borderId="0" xfId="0" applyFont="1" applyAlignment="1" applyProtection="1">
      <alignment horizontal="left"/>
      <protection locked="0"/>
    </xf>
    <xf numFmtId="0" fontId="19" fillId="0" borderId="0" xfId="0" applyFont="1" applyProtection="1">
      <protection locked="0"/>
    </xf>
    <xf numFmtId="0" fontId="16" fillId="0" borderId="0" xfId="0" applyNumberFormat="1" applyFont="1" applyAlignment="1" applyProtection="1">
      <alignment horizontal="left" shrinkToFit="1"/>
      <protection locked="0"/>
    </xf>
    <xf numFmtId="164" fontId="18" fillId="0" borderId="0" xfId="0" applyNumberFormat="1" applyFont="1"/>
    <xf numFmtId="0" fontId="10" fillId="4" borderId="0" xfId="0" applyFont="1" applyFill="1"/>
    <xf numFmtId="3" fontId="2" fillId="4" borderId="0" xfId="0" applyNumberFormat="1" applyFont="1" applyFill="1" applyAlignment="1" applyProtection="1">
      <alignment shrinkToFit="1"/>
      <protection locked="0"/>
    </xf>
    <xf numFmtId="2" fontId="2" fillId="4" borderId="0" xfId="0" applyNumberFormat="1" applyFont="1" applyFill="1" applyAlignment="1" applyProtection="1">
      <alignment shrinkToFit="1"/>
      <protection locked="0"/>
    </xf>
    <xf numFmtId="0" fontId="20" fillId="0" borderId="0" xfId="0" applyFont="1" applyProtection="1">
      <protection locked="0"/>
    </xf>
    <xf numFmtId="10" fontId="20" fillId="0" borderId="0" xfId="0" applyNumberFormat="1" applyFont="1" applyProtection="1">
      <protection locked="0"/>
    </xf>
    <xf numFmtId="3" fontId="20" fillId="0" borderId="0" xfId="0" applyNumberFormat="1" applyFont="1" applyProtection="1">
      <protection locked="0"/>
    </xf>
    <xf numFmtId="164" fontId="16" fillId="0" borderId="0" xfId="0" quotePrefix="1" applyNumberFormat="1" applyFont="1"/>
    <xf numFmtId="1" fontId="19" fillId="0" borderId="0" xfId="0" applyNumberFormat="1" applyFont="1"/>
    <xf numFmtId="9" fontId="19" fillId="0" borderId="0" xfId="0" applyNumberFormat="1" applyFont="1"/>
    <xf numFmtId="164" fontId="19" fillId="0" borderId="0" xfId="0" applyNumberFormat="1" applyFont="1"/>
    <xf numFmtId="164" fontId="18" fillId="0" borderId="0" xfId="0" applyNumberFormat="1" applyFont="1" applyFill="1"/>
    <xf numFmtId="0" fontId="11" fillId="0" borderId="0" xfId="0" applyFont="1" applyAlignment="1" applyProtection="1">
      <alignment horizontal="left"/>
      <protection locked="0"/>
    </xf>
    <xf numFmtId="10" fontId="5" fillId="0" borderId="0" xfId="0" applyNumberFormat="1" applyFont="1" applyProtection="1">
      <protection locked="0"/>
    </xf>
    <xf numFmtId="10" fontId="19" fillId="0" borderId="0" xfId="0" applyNumberFormat="1" applyFont="1"/>
    <xf numFmtId="165" fontId="18" fillId="0" borderId="0" xfId="0" applyNumberFormat="1" applyFont="1"/>
    <xf numFmtId="10" fontId="18" fillId="0" borderId="0" xfId="0" applyNumberFormat="1" applyFont="1"/>
    <xf numFmtId="9" fontId="2" fillId="0" borderId="0" xfId="0" applyNumberFormat="1" applyFont="1" applyProtection="1">
      <protection locked="0"/>
    </xf>
    <xf numFmtId="3" fontId="0" fillId="0" borderId="0" xfId="0" applyNumberFormat="1" applyProtection="1">
      <protection locked="0"/>
    </xf>
    <xf numFmtId="0" fontId="18" fillId="0" borderId="0" xfId="0" applyFont="1" applyAlignment="1">
      <alignment horizontal="center"/>
    </xf>
    <xf numFmtId="0" fontId="17" fillId="0" borderId="0" xfId="0" applyFont="1" applyAlignment="1">
      <alignment horizontal="center"/>
    </xf>
    <xf numFmtId="164" fontId="2" fillId="0" borderId="0" xfId="0" applyNumberFormat="1" applyFont="1" applyProtection="1">
      <protection locked="0"/>
    </xf>
    <xf numFmtId="166" fontId="18" fillId="0" borderId="0" xfId="0" applyNumberFormat="1" applyFont="1"/>
    <xf numFmtId="0" fontId="14" fillId="0" borderId="0" xfId="0" applyFont="1" applyProtection="1">
      <protection locked="0"/>
    </xf>
    <xf numFmtId="164" fontId="14" fillId="0" borderId="0" xfId="0" applyNumberFormat="1" applyFont="1" applyProtection="1">
      <protection locked="0"/>
    </xf>
    <xf numFmtId="0" fontId="23" fillId="0" borderId="0" xfId="1" applyFont="1" applyAlignment="1" applyProtection="1">
      <protection locked="0"/>
    </xf>
    <xf numFmtId="0" fontId="11" fillId="0" borderId="0" xfId="0" applyFont="1" applyAlignment="1" applyProtection="1">
      <alignment shrinkToFit="1"/>
      <protection locked="0"/>
    </xf>
    <xf numFmtId="14" fontId="11" fillId="0" borderId="0" xfId="0" applyNumberFormat="1" applyFont="1" applyProtection="1">
      <protection locked="0"/>
    </xf>
    <xf numFmtId="0" fontId="24" fillId="0" borderId="0" xfId="0" applyFont="1" applyProtection="1">
      <protection locked="0"/>
    </xf>
    <xf numFmtId="164" fontId="17" fillId="3" borderId="0" xfId="0" applyNumberFormat="1" applyFont="1" applyFill="1"/>
    <xf numFmtId="0" fontId="18" fillId="5" borderId="0" xfId="0" applyFont="1" applyFill="1"/>
    <xf numFmtId="10" fontId="18" fillId="5" borderId="0" xfId="0" applyNumberFormat="1" applyFont="1" applyFill="1"/>
    <xf numFmtId="9" fontId="17" fillId="5" borderId="1" xfId="0" applyNumberFormat="1" applyFont="1" applyFill="1" applyBorder="1"/>
    <xf numFmtId="9" fontId="18" fillId="5" borderId="0" xfId="0" applyNumberFormat="1" applyFont="1" applyFill="1"/>
    <xf numFmtId="0" fontId="25" fillId="0" borderId="0" xfId="0" applyFont="1" applyAlignment="1">
      <alignment horizontal="right"/>
    </xf>
    <xf numFmtId="0" fontId="25" fillId="0" borderId="0" xfId="0" applyFont="1"/>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Arial"/>
                <a:ea typeface="Arial"/>
                <a:cs typeface="Arial"/>
              </a:defRPr>
            </a:pPr>
            <a:r>
              <a:rPr lang="en-US"/>
              <a:t>Investment performance</a:t>
            </a:r>
          </a:p>
        </c:rich>
      </c:tx>
      <c:layout>
        <c:manualLayout>
          <c:xMode val="edge"/>
          <c:yMode val="edge"/>
          <c:x val="0.26909109997613923"/>
          <c:y val="3.6231884057971092E-2"/>
        </c:manualLayout>
      </c:layout>
      <c:overlay val="0"/>
      <c:spPr>
        <a:noFill/>
        <a:ln w="25400">
          <a:noFill/>
        </a:ln>
      </c:spPr>
    </c:title>
    <c:autoTitleDeleted val="0"/>
    <c:plotArea>
      <c:layout>
        <c:manualLayout>
          <c:layoutTarget val="inner"/>
          <c:xMode val="edge"/>
          <c:yMode val="edge"/>
          <c:x val="0.21272746158334199"/>
          <c:y val="0.27536329315026287"/>
          <c:w val="0.50000044389243958"/>
          <c:h val="0.438407348305001"/>
        </c:manualLayout>
      </c:layout>
      <c:lineChart>
        <c:grouping val="standard"/>
        <c:varyColors val="0"/>
        <c:ser>
          <c:idx val="0"/>
          <c:order val="0"/>
          <c:tx>
            <c:v>NOI</c:v>
          </c:tx>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#,##0</c:formatCode>
                <c:ptCount val="10"/>
                <c:pt idx="0">
                  <c:v>30000</c:v>
                </c:pt>
                <c:pt idx="1">
                  <c:v>30235.800000000003</c:v>
                </c:pt>
                <c:pt idx="2">
                  <c:v>30465.389999999992</c:v>
                </c:pt>
                <c:pt idx="3">
                  <c:v>30688.318019999999</c:v>
                </c:pt>
                <c:pt idx="4">
                  <c:v>30904.113207000009</c:v>
                </c:pt>
                <c:pt idx="5">
                  <c:v>31112.285162537999</c:v>
                </c:pt>
                <c:pt idx="6">
                  <c:v>31312.323247928696</c:v>
                </c:pt>
                <c:pt idx="7">
                  <c:v>31503.695866491413</c:v>
                </c:pt>
                <c:pt idx="8">
                  <c:v>31685.849722033512</c:v>
                </c:pt>
                <c:pt idx="9">
                  <c:v>31858.209052832812</c:v>
                </c:pt>
              </c:numCache>
            </c:numRef>
          </c:val>
          <c:smooth val="0"/>
        </c:ser>
        <c:ser>
          <c:idx val="1"/>
          <c:order val="1"/>
          <c:tx>
            <c:v>Interest paid</c:v>
          </c:tx>
          <c:spPr>
            <a:ln w="12700">
              <a:solidFill>
                <a:srgbClr val="FF00FF"/>
              </a:solidFill>
              <a:prstDash val="solid"/>
            </a:ln>
          </c:spPr>
          <c:marker>
            <c:symbol val="square"/>
            <c:size val="5"/>
            <c:spPr>
              <a:solidFill>
                <a:srgbClr val="FF00FF"/>
              </a:solidFill>
              <a:ln>
                <a:solidFill>
                  <a:srgbClr val="FF00FF"/>
                </a:solidFill>
                <a:prstDash val="solid"/>
              </a:ln>
            </c:spPr>
          </c:marker>
          <c:val>
            <c:numRef>
              <c:f>#REF!</c:f>
              <c:numCache>
                <c:formatCode>#,##0</c:formatCode>
                <c:ptCount val="10"/>
                <c:pt idx="0">
                  <c:v>12080.610825691605</c:v>
                </c:pt>
                <c:pt idx="1">
                  <c:v>11726.032126872946</c:v>
                </c:pt>
                <c:pt idx="2">
                  <c:v>11351.452402315626</c:v>
                </c:pt>
                <c:pt idx="3">
                  <c:v>10955.743436952325</c:v>
                </c:pt>
                <c:pt idx="4">
                  <c:v>10537.7133755174</c:v>
                </c:pt>
                <c:pt idx="5">
                  <c:v>10096.103132740129</c:v>
                </c:pt>
                <c:pt idx="6">
                  <c:v>9629.5826010434248</c:v>
                </c:pt>
                <c:pt idx="7">
                  <c:v>9136.7466443278245</c:v>
                </c:pt>
                <c:pt idx="8">
                  <c:v>8616.1108657729055</c:v>
                </c:pt>
                <c:pt idx="9">
                  <c:v>8066.1071369093843</c:v>
                </c:pt>
              </c:numCache>
            </c:numRef>
          </c:val>
          <c:smooth val="0"/>
        </c:ser>
        <c:ser>
          <c:idx val="2"/>
          <c:order val="2"/>
          <c:tx>
            <c:v>Return on Equity</c:v>
          </c:tx>
          <c:spPr>
            <a:ln w="12700">
              <a:solidFill>
                <a:srgbClr val="FFFF00"/>
              </a:solidFill>
              <a:prstDash val="solid"/>
            </a:ln>
          </c:spPr>
          <c:marker>
            <c:symbol val="triangle"/>
            <c:size val="5"/>
            <c:spPr>
              <a:solidFill>
                <a:srgbClr val="FFFF00"/>
              </a:solidFill>
              <a:ln>
                <a:solidFill>
                  <a:srgbClr val="FFFF00"/>
                </a:solidFill>
                <a:prstDash val="solid"/>
              </a:ln>
            </c:spPr>
          </c:marker>
          <c:val>
            <c:numRef>
              <c:f>#REF!</c:f>
              <c:numCache>
                <c:formatCode>#,##0</c:formatCode>
                <c:ptCount val="10"/>
                <c:pt idx="0">
                  <c:v>18640.323555960549</c:v>
                </c:pt>
                <c:pt idx="1">
                  <c:v>19129.818941039106</c:v>
                </c:pt>
                <c:pt idx="2">
                  <c:v>19630.361326193786</c:v>
                </c:pt>
                <c:pt idx="3">
                  <c:v>20142.481074777203</c:v>
                </c:pt>
                <c:pt idx="4">
                  <c:v>20666.743497556439</c:v>
                </c:pt>
                <c:pt idx="5">
                  <c:v>21203.751128532331</c:v>
                </c:pt>
                <c:pt idx="6">
                  <c:v>21754.146141313417</c:v>
                </c:pt>
                <c:pt idx="7">
                  <c:v>22318.612914397949</c:v>
                </c:pt>
                <c:pt idx="8">
                  <c:v>22897.8807542047</c:v>
                </c:pt>
                <c:pt idx="9">
                  <c:v>23492.726785204944</c:v>
                </c:pt>
              </c:numCache>
            </c:numRef>
          </c:val>
          <c:smooth val="0"/>
        </c:ser>
        <c:dLbls>
          <c:showLegendKey val="0"/>
          <c:showVal val="0"/>
          <c:showCatName val="0"/>
          <c:showSerName val="0"/>
          <c:showPercent val="0"/>
          <c:showBubbleSize val="0"/>
        </c:dLbls>
        <c:marker val="1"/>
        <c:smooth val="0"/>
        <c:axId val="-741277840"/>
        <c:axId val="-741276752"/>
      </c:lineChart>
      <c:catAx>
        <c:axId val="-74127784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years</a:t>
                </a:r>
              </a:p>
            </c:rich>
          </c:tx>
          <c:layout>
            <c:manualLayout>
              <c:xMode val="edge"/>
              <c:yMode val="edge"/>
              <c:x val="0.41818219995230643"/>
              <c:y val="0.844205941648600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41276752"/>
        <c:crosses val="autoZero"/>
        <c:auto val="1"/>
        <c:lblAlgn val="ctr"/>
        <c:lblOffset val="100"/>
        <c:tickLblSkip val="1"/>
        <c:tickMarkSkip val="1"/>
        <c:noMultiLvlLbl val="0"/>
      </c:catAx>
      <c:valAx>
        <c:axId val="-74127675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Dollars</a:t>
                </a:r>
              </a:p>
            </c:rich>
          </c:tx>
          <c:layout>
            <c:manualLayout>
              <c:xMode val="edge"/>
              <c:yMode val="edge"/>
              <c:x val="4.3636363636363654E-2"/>
              <c:y val="0.3804363041576578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41277840"/>
        <c:crosses val="autoZero"/>
        <c:crossBetween val="midCat"/>
      </c:valAx>
      <c:spPr>
        <a:solidFill>
          <a:srgbClr val="C0C0C0"/>
        </a:solidFill>
        <a:ln w="12700">
          <a:solidFill>
            <a:srgbClr val="808080"/>
          </a:solidFill>
          <a:prstDash val="solid"/>
        </a:ln>
      </c:spPr>
    </c:plotArea>
    <c:legend>
      <c:legendPos val="r"/>
      <c:layout>
        <c:manualLayout>
          <c:xMode val="edge"/>
          <c:yMode val="edge"/>
          <c:x val="0.7036369362920547"/>
          <c:y val="0.36594317014722288"/>
          <c:w val="0.28363655452157643"/>
          <c:h val="0.2644935143976663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Arial"/>
                <a:ea typeface="Arial"/>
                <a:cs typeface="Arial"/>
              </a:defRPr>
            </a:pPr>
            <a:r>
              <a:rPr lang="en-US"/>
              <a:t>Investment performance</a:t>
            </a:r>
          </a:p>
        </c:rich>
      </c:tx>
      <c:layout>
        <c:manualLayout>
          <c:xMode val="edge"/>
          <c:yMode val="edge"/>
          <c:x val="0.26909109997613923"/>
          <c:y val="3.6231884057971092E-2"/>
        </c:manualLayout>
      </c:layout>
      <c:overlay val="0"/>
      <c:spPr>
        <a:noFill/>
        <a:ln w="25400">
          <a:noFill/>
        </a:ln>
      </c:spPr>
    </c:title>
    <c:autoTitleDeleted val="0"/>
    <c:plotArea>
      <c:layout>
        <c:manualLayout>
          <c:layoutTarget val="inner"/>
          <c:xMode val="edge"/>
          <c:yMode val="edge"/>
          <c:x val="0.21272746158334183"/>
          <c:y val="0.27536329315026248"/>
          <c:w val="0.50000044389243958"/>
          <c:h val="0.43840734830500078"/>
        </c:manualLayout>
      </c:layout>
      <c:lineChart>
        <c:grouping val="standard"/>
        <c:varyColors val="0"/>
        <c:ser>
          <c:idx val="0"/>
          <c:order val="0"/>
          <c:tx>
            <c:v>NOI</c:v>
          </c:tx>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#,##0</c:formatCode>
                <c:ptCount val="10"/>
                <c:pt idx="0">
                  <c:v>30000</c:v>
                </c:pt>
                <c:pt idx="1">
                  <c:v>30235.800000000003</c:v>
                </c:pt>
                <c:pt idx="2">
                  <c:v>30465.389999999992</c:v>
                </c:pt>
                <c:pt idx="3">
                  <c:v>30688.318019999999</c:v>
                </c:pt>
                <c:pt idx="4">
                  <c:v>30904.113207000009</c:v>
                </c:pt>
                <c:pt idx="5">
                  <c:v>31112.285162537999</c:v>
                </c:pt>
                <c:pt idx="6">
                  <c:v>31312.323247928696</c:v>
                </c:pt>
                <c:pt idx="7">
                  <c:v>31503.695866491413</c:v>
                </c:pt>
                <c:pt idx="8">
                  <c:v>31685.849722033512</c:v>
                </c:pt>
                <c:pt idx="9">
                  <c:v>31858.209052832812</c:v>
                </c:pt>
              </c:numCache>
            </c:numRef>
          </c:val>
          <c:smooth val="0"/>
        </c:ser>
        <c:ser>
          <c:idx val="1"/>
          <c:order val="1"/>
          <c:tx>
            <c:v>Interest paid</c:v>
          </c:tx>
          <c:spPr>
            <a:ln w="12700">
              <a:solidFill>
                <a:srgbClr val="FF00FF"/>
              </a:solidFill>
              <a:prstDash val="solid"/>
            </a:ln>
          </c:spPr>
          <c:marker>
            <c:symbol val="square"/>
            <c:size val="5"/>
            <c:spPr>
              <a:solidFill>
                <a:srgbClr val="FF00FF"/>
              </a:solidFill>
              <a:ln>
                <a:solidFill>
                  <a:srgbClr val="FF00FF"/>
                </a:solidFill>
                <a:prstDash val="solid"/>
              </a:ln>
            </c:spPr>
          </c:marker>
          <c:val>
            <c:numRef>
              <c:f>#REF!</c:f>
              <c:numCache>
                <c:formatCode>#,##0</c:formatCode>
                <c:ptCount val="10"/>
                <c:pt idx="0">
                  <c:v>12080.610825691605</c:v>
                </c:pt>
                <c:pt idx="1">
                  <c:v>11726.032126872946</c:v>
                </c:pt>
                <c:pt idx="2">
                  <c:v>11351.452402315626</c:v>
                </c:pt>
                <c:pt idx="3">
                  <c:v>10955.743436952325</c:v>
                </c:pt>
                <c:pt idx="4">
                  <c:v>10537.7133755174</c:v>
                </c:pt>
                <c:pt idx="5">
                  <c:v>10096.103132740129</c:v>
                </c:pt>
                <c:pt idx="6">
                  <c:v>9629.5826010434248</c:v>
                </c:pt>
                <c:pt idx="7">
                  <c:v>9136.7466443278245</c:v>
                </c:pt>
                <c:pt idx="8">
                  <c:v>8616.1108657729055</c:v>
                </c:pt>
                <c:pt idx="9">
                  <c:v>8066.1071369093843</c:v>
                </c:pt>
              </c:numCache>
            </c:numRef>
          </c:val>
          <c:smooth val="0"/>
        </c:ser>
        <c:ser>
          <c:idx val="2"/>
          <c:order val="2"/>
          <c:tx>
            <c:v>Return on Equity</c:v>
          </c:tx>
          <c:spPr>
            <a:ln w="12700">
              <a:solidFill>
                <a:srgbClr val="FFFF00"/>
              </a:solidFill>
              <a:prstDash val="solid"/>
            </a:ln>
          </c:spPr>
          <c:marker>
            <c:symbol val="triangle"/>
            <c:size val="5"/>
            <c:spPr>
              <a:solidFill>
                <a:srgbClr val="FFFF00"/>
              </a:solidFill>
              <a:ln>
                <a:solidFill>
                  <a:srgbClr val="FFFF00"/>
                </a:solidFill>
                <a:prstDash val="solid"/>
              </a:ln>
            </c:spPr>
          </c:marker>
          <c:val>
            <c:numRef>
              <c:f>#REF!</c:f>
              <c:numCache>
                <c:formatCode>#,##0</c:formatCode>
                <c:ptCount val="10"/>
                <c:pt idx="0">
                  <c:v>18640.323555960549</c:v>
                </c:pt>
                <c:pt idx="1">
                  <c:v>19129.818941039106</c:v>
                </c:pt>
                <c:pt idx="2">
                  <c:v>19630.361326193786</c:v>
                </c:pt>
                <c:pt idx="3">
                  <c:v>20142.481074777203</c:v>
                </c:pt>
                <c:pt idx="4">
                  <c:v>20666.743497556439</c:v>
                </c:pt>
                <c:pt idx="5">
                  <c:v>21203.751128532331</c:v>
                </c:pt>
                <c:pt idx="6">
                  <c:v>21754.146141313417</c:v>
                </c:pt>
                <c:pt idx="7">
                  <c:v>22318.612914397949</c:v>
                </c:pt>
                <c:pt idx="8">
                  <c:v>22897.8807542047</c:v>
                </c:pt>
                <c:pt idx="9">
                  <c:v>23492.726785204944</c:v>
                </c:pt>
              </c:numCache>
            </c:numRef>
          </c:val>
          <c:smooth val="0"/>
        </c:ser>
        <c:dLbls>
          <c:showLegendKey val="0"/>
          <c:showVal val="0"/>
          <c:showCatName val="0"/>
          <c:showSerName val="0"/>
          <c:showPercent val="0"/>
          <c:showBubbleSize val="0"/>
        </c:dLbls>
        <c:marker val="1"/>
        <c:smooth val="0"/>
        <c:axId val="-741274576"/>
        <c:axId val="-736159840"/>
      </c:lineChart>
      <c:catAx>
        <c:axId val="-74127457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years</a:t>
                </a:r>
              </a:p>
            </c:rich>
          </c:tx>
          <c:layout>
            <c:manualLayout>
              <c:xMode val="edge"/>
              <c:yMode val="edge"/>
              <c:x val="0.41818219995230604"/>
              <c:y val="0.844205941648600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36159840"/>
        <c:crosses val="autoZero"/>
        <c:auto val="1"/>
        <c:lblAlgn val="ctr"/>
        <c:lblOffset val="100"/>
        <c:tickLblSkip val="1"/>
        <c:tickMarkSkip val="1"/>
        <c:noMultiLvlLbl val="0"/>
      </c:catAx>
      <c:valAx>
        <c:axId val="-73615984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Dollars</a:t>
                </a:r>
              </a:p>
            </c:rich>
          </c:tx>
          <c:layout>
            <c:manualLayout>
              <c:xMode val="edge"/>
              <c:yMode val="edge"/>
              <c:x val="4.3636363636363654E-2"/>
              <c:y val="0.3804363041576573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41274576"/>
        <c:crosses val="autoZero"/>
        <c:crossBetween val="midCat"/>
      </c:valAx>
      <c:spPr>
        <a:solidFill>
          <a:srgbClr val="C0C0C0"/>
        </a:solidFill>
        <a:ln w="12700">
          <a:solidFill>
            <a:srgbClr val="808080"/>
          </a:solidFill>
          <a:prstDash val="solid"/>
        </a:ln>
      </c:spPr>
    </c:plotArea>
    <c:legend>
      <c:legendPos val="r"/>
      <c:layout>
        <c:manualLayout>
          <c:xMode val="edge"/>
          <c:yMode val="edge"/>
          <c:x val="0.7036369362920547"/>
          <c:y val="0.36594317014722288"/>
          <c:w val="0.28363655452157666"/>
          <c:h val="0.2644935143976663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Arial"/>
                <a:ea typeface="Arial"/>
                <a:cs typeface="Arial"/>
              </a:defRPr>
            </a:pPr>
            <a:r>
              <a:rPr lang="en-US"/>
              <a:t>Investment performance</a:t>
            </a:r>
          </a:p>
        </c:rich>
      </c:tx>
      <c:layout>
        <c:manualLayout>
          <c:xMode val="edge"/>
          <c:yMode val="edge"/>
          <c:x val="0.26909109997613923"/>
          <c:y val="3.6231884057971092E-2"/>
        </c:manualLayout>
      </c:layout>
      <c:overlay val="0"/>
      <c:spPr>
        <a:noFill/>
        <a:ln w="25400">
          <a:noFill/>
        </a:ln>
      </c:spPr>
    </c:title>
    <c:autoTitleDeleted val="0"/>
    <c:plotArea>
      <c:layout>
        <c:manualLayout>
          <c:layoutTarget val="inner"/>
          <c:xMode val="edge"/>
          <c:yMode val="edge"/>
          <c:x val="0.21272746158334133"/>
          <c:y val="0.27536329315026165"/>
          <c:w val="0.50000044389243958"/>
          <c:h val="0.43840734830500022"/>
        </c:manualLayout>
      </c:layout>
      <c:lineChart>
        <c:grouping val="standard"/>
        <c:varyColors val="0"/>
        <c:ser>
          <c:idx val="0"/>
          <c:order val="0"/>
          <c:tx>
            <c:v>NOI</c:v>
          </c:tx>
          <c:spPr>
            <a:ln w="12700">
              <a:solidFill>
                <a:srgbClr val="000080"/>
              </a:solidFill>
              <a:prstDash val="solid"/>
            </a:ln>
          </c:spPr>
          <c:marker>
            <c:symbol val="diamond"/>
            <c:size val="5"/>
            <c:spPr>
              <a:solidFill>
                <a:srgbClr val="000080"/>
              </a:solidFill>
              <a:ln>
                <a:solidFill>
                  <a:srgbClr val="000080"/>
                </a:solidFill>
                <a:prstDash val="solid"/>
              </a:ln>
            </c:spPr>
          </c:marker>
          <c:val>
            <c:numRef>
              <c:f>'60'!$D$92:$M$92</c:f>
              <c:numCache>
                <c:formatCode>#,##0</c:formatCode>
                <c:ptCount val="10"/>
                <c:pt idx="0">
                  <c:v>22050.77</c:v>
                </c:pt>
                <c:pt idx="1">
                  <c:v>22491.785399999997</c:v>
                </c:pt>
                <c:pt idx="2">
                  <c:v>22941.621107999999</c:v>
                </c:pt>
                <c:pt idx="3">
                  <c:v>23400.453530159994</c:v>
                </c:pt>
                <c:pt idx="4">
                  <c:v>23868.462600763196</c:v>
                </c:pt>
                <c:pt idx="5">
                  <c:v>24345.831852778458</c:v>
                </c:pt>
                <c:pt idx="6">
                  <c:v>24832.748489834023</c:v>
                </c:pt>
                <c:pt idx="7">
                  <c:v>25329.40345963071</c:v>
                </c:pt>
                <c:pt idx="8">
                  <c:v>25835.991528823324</c:v>
                </c:pt>
                <c:pt idx="9">
                  <c:v>26352.711359399786</c:v>
                </c:pt>
              </c:numCache>
            </c:numRef>
          </c:val>
          <c:smooth val="0"/>
        </c:ser>
        <c:ser>
          <c:idx val="1"/>
          <c:order val="1"/>
          <c:tx>
            <c:v>Interest paid</c:v>
          </c:tx>
          <c:spPr>
            <a:ln w="12700">
              <a:solidFill>
                <a:srgbClr val="FF00FF"/>
              </a:solidFill>
              <a:prstDash val="solid"/>
            </a:ln>
          </c:spPr>
          <c:marker>
            <c:symbol val="square"/>
            <c:size val="5"/>
            <c:spPr>
              <a:solidFill>
                <a:srgbClr val="FF00FF"/>
              </a:solidFill>
              <a:ln>
                <a:solidFill>
                  <a:srgbClr val="FF00FF"/>
                </a:solidFill>
                <a:prstDash val="solid"/>
              </a:ln>
            </c:spPr>
          </c:marker>
          <c:val>
            <c:numRef>
              <c:f>'60'!$D$106:$M$106</c:f>
              <c:numCache>
                <c:formatCode>#,##0</c:formatCode>
                <c:ptCount val="10"/>
                <c:pt idx="0">
                  <c:v>11720.926148164512</c:v>
                </c:pt>
                <c:pt idx="1">
                  <c:v>11542.787469054823</c:v>
                </c:pt>
                <c:pt idx="2">
                  <c:v>11355.534877035727</c:v>
                </c:pt>
                <c:pt idx="3">
                  <c:v>11158.702087025671</c:v>
                </c:pt>
                <c:pt idx="4">
                  <c:v>10951.798957913375</c:v>
                </c:pt>
                <c:pt idx="5">
                  <c:v>10734.310272037972</c:v>
                </c:pt>
                <c:pt idx="6">
                  <c:v>10505.694452225423</c:v>
                </c:pt>
                <c:pt idx="7">
                  <c:v>10265.382213185501</c:v>
                </c:pt>
                <c:pt idx="8">
                  <c:v>10012.775143911993</c:v>
                </c:pt>
                <c:pt idx="9">
                  <c:v>9747.2442175561337</c:v>
                </c:pt>
              </c:numCache>
            </c:numRef>
          </c:val>
          <c:smooth val="0"/>
        </c:ser>
        <c:ser>
          <c:idx val="2"/>
          <c:order val="2"/>
          <c:tx>
            <c:v>Return on Equity</c:v>
          </c:tx>
          <c:spPr>
            <a:ln w="12700">
              <a:solidFill>
                <a:srgbClr val="FFFF00"/>
              </a:solidFill>
              <a:prstDash val="solid"/>
            </a:ln>
          </c:spPr>
          <c:marker>
            <c:symbol val="triangle"/>
            <c:size val="5"/>
            <c:spPr>
              <a:solidFill>
                <a:srgbClr val="FFFF00"/>
              </a:solidFill>
              <a:ln>
                <a:solidFill>
                  <a:srgbClr val="FFFF00"/>
                </a:solidFill>
                <a:prstDash val="solid"/>
              </a:ln>
            </c:spPr>
          </c:marker>
          <c:val>
            <c:numRef>
              <c:f>'60'!$D$160:$M$160</c:f>
              <c:numCache>
                <c:formatCode>#,##0</c:formatCode>
                <c:ptCount val="10"/>
                <c:pt idx="0">
                  <c:v>10086.878204431681</c:v>
                </c:pt>
                <c:pt idx="1">
                  <c:v>10569.818386137234</c:v>
                </c:pt>
                <c:pt idx="2">
                  <c:v>11066.747260152133</c:v>
                </c:pt>
                <c:pt idx="3">
                  <c:v>11578.166125644771</c:v>
                </c:pt>
                <c:pt idx="4">
                  <c:v>12104.597641422861</c:v>
                </c:pt>
                <c:pt idx="5">
                  <c:v>12646.586832977579</c:v>
                </c:pt>
                <c:pt idx="6">
                  <c:v>13204.702149334707</c:v>
                </c:pt>
                <c:pt idx="7">
                  <c:v>13779.536572227264</c:v>
                </c:pt>
                <c:pt idx="8">
                  <c:v>14371.708780230838</c:v>
                </c:pt>
                <c:pt idx="9">
                  <c:v>14981.864370638048</c:v>
                </c:pt>
              </c:numCache>
            </c:numRef>
          </c:val>
          <c:smooth val="0"/>
        </c:ser>
        <c:dLbls>
          <c:showLegendKey val="0"/>
          <c:showVal val="0"/>
          <c:showCatName val="0"/>
          <c:showSerName val="0"/>
          <c:showPercent val="0"/>
          <c:showBubbleSize val="0"/>
        </c:dLbls>
        <c:marker val="1"/>
        <c:smooth val="0"/>
        <c:axId val="-736158208"/>
        <c:axId val="-736170176"/>
      </c:lineChart>
      <c:catAx>
        <c:axId val="-73615820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years</a:t>
                </a:r>
              </a:p>
            </c:rich>
          </c:tx>
          <c:layout>
            <c:manualLayout>
              <c:xMode val="edge"/>
              <c:yMode val="edge"/>
              <c:x val="0.41818219995230527"/>
              <c:y val="0.844205941648600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36170176"/>
        <c:crosses val="autoZero"/>
        <c:auto val="1"/>
        <c:lblAlgn val="ctr"/>
        <c:lblOffset val="100"/>
        <c:tickLblSkip val="1"/>
        <c:tickMarkSkip val="1"/>
        <c:noMultiLvlLbl val="0"/>
      </c:catAx>
      <c:valAx>
        <c:axId val="-73617017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Dollars</a:t>
                </a:r>
              </a:p>
            </c:rich>
          </c:tx>
          <c:layout>
            <c:manualLayout>
              <c:xMode val="edge"/>
              <c:yMode val="edge"/>
              <c:x val="4.3636363636363654E-2"/>
              <c:y val="0.380436304157656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36158208"/>
        <c:crosses val="autoZero"/>
        <c:crossBetween val="midCat"/>
      </c:valAx>
      <c:spPr>
        <a:solidFill>
          <a:srgbClr val="C0C0C0"/>
        </a:solidFill>
        <a:ln w="12700">
          <a:solidFill>
            <a:srgbClr val="808080"/>
          </a:solidFill>
          <a:prstDash val="solid"/>
        </a:ln>
      </c:spPr>
    </c:plotArea>
    <c:legend>
      <c:legendPos val="r"/>
      <c:layout>
        <c:manualLayout>
          <c:xMode val="edge"/>
          <c:yMode val="edge"/>
          <c:x val="0.7036369362920547"/>
          <c:y val="0.36594317014722288"/>
          <c:w val="0.28363655452157777"/>
          <c:h val="0.2644935143976663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Arial"/>
                <a:ea typeface="Arial"/>
                <a:cs typeface="Arial"/>
              </a:defRPr>
            </a:pPr>
            <a:r>
              <a:rPr lang="en-US"/>
              <a:t>Investment performance</a:t>
            </a:r>
          </a:p>
        </c:rich>
      </c:tx>
      <c:layout>
        <c:manualLayout>
          <c:xMode val="edge"/>
          <c:yMode val="edge"/>
          <c:x val="0.26909109997613923"/>
          <c:y val="3.6231884057971092E-2"/>
        </c:manualLayout>
      </c:layout>
      <c:overlay val="0"/>
      <c:spPr>
        <a:noFill/>
        <a:ln w="25400">
          <a:noFill/>
        </a:ln>
      </c:spPr>
    </c:title>
    <c:autoTitleDeleted val="0"/>
    <c:plotArea>
      <c:layout>
        <c:manualLayout>
          <c:layoutTarget val="inner"/>
          <c:xMode val="edge"/>
          <c:yMode val="edge"/>
          <c:x val="0.21272746158334194"/>
          <c:y val="0.27536329315026264"/>
          <c:w val="0.50000044389243958"/>
          <c:h val="0.43840734830500089"/>
        </c:manualLayout>
      </c:layout>
      <c:lineChart>
        <c:grouping val="standard"/>
        <c:varyColors val="0"/>
        <c:ser>
          <c:idx val="0"/>
          <c:order val="0"/>
          <c:tx>
            <c:v>NOI</c:v>
          </c:tx>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#,##0</c:formatCode>
                <c:ptCount val="10"/>
                <c:pt idx="0">
                  <c:v>30000</c:v>
                </c:pt>
                <c:pt idx="1">
                  <c:v>30235.800000000003</c:v>
                </c:pt>
                <c:pt idx="2">
                  <c:v>30465.389999999992</c:v>
                </c:pt>
                <c:pt idx="3">
                  <c:v>30688.318019999999</c:v>
                </c:pt>
                <c:pt idx="4">
                  <c:v>30904.113207000009</c:v>
                </c:pt>
                <c:pt idx="5">
                  <c:v>31112.285162537999</c:v>
                </c:pt>
                <c:pt idx="6">
                  <c:v>31312.323247928696</c:v>
                </c:pt>
                <c:pt idx="7">
                  <c:v>31503.695866491413</c:v>
                </c:pt>
                <c:pt idx="8">
                  <c:v>31685.849722033512</c:v>
                </c:pt>
                <c:pt idx="9">
                  <c:v>31858.209052832812</c:v>
                </c:pt>
              </c:numCache>
            </c:numRef>
          </c:val>
          <c:smooth val="0"/>
        </c:ser>
        <c:ser>
          <c:idx val="1"/>
          <c:order val="1"/>
          <c:tx>
            <c:v>Interest paid</c:v>
          </c:tx>
          <c:spPr>
            <a:ln w="12700">
              <a:solidFill>
                <a:srgbClr val="FF00FF"/>
              </a:solidFill>
              <a:prstDash val="solid"/>
            </a:ln>
          </c:spPr>
          <c:marker>
            <c:symbol val="square"/>
            <c:size val="5"/>
            <c:spPr>
              <a:solidFill>
                <a:srgbClr val="FF00FF"/>
              </a:solidFill>
              <a:ln>
                <a:solidFill>
                  <a:srgbClr val="FF00FF"/>
                </a:solidFill>
                <a:prstDash val="solid"/>
              </a:ln>
            </c:spPr>
          </c:marker>
          <c:val>
            <c:numRef>
              <c:f>#REF!</c:f>
              <c:numCache>
                <c:formatCode>#,##0</c:formatCode>
                <c:ptCount val="10"/>
                <c:pt idx="0">
                  <c:v>12080.610825691605</c:v>
                </c:pt>
                <c:pt idx="1">
                  <c:v>11726.032126872946</c:v>
                </c:pt>
                <c:pt idx="2">
                  <c:v>11351.452402315626</c:v>
                </c:pt>
                <c:pt idx="3">
                  <c:v>10955.743436952325</c:v>
                </c:pt>
                <c:pt idx="4">
                  <c:v>10537.7133755174</c:v>
                </c:pt>
                <c:pt idx="5">
                  <c:v>10096.103132740129</c:v>
                </c:pt>
                <c:pt idx="6">
                  <c:v>9629.5826010434248</c:v>
                </c:pt>
                <c:pt idx="7">
                  <c:v>9136.7466443278245</c:v>
                </c:pt>
                <c:pt idx="8">
                  <c:v>8616.1108657729055</c:v>
                </c:pt>
                <c:pt idx="9">
                  <c:v>8066.1071369093843</c:v>
                </c:pt>
              </c:numCache>
            </c:numRef>
          </c:val>
          <c:smooth val="0"/>
        </c:ser>
        <c:ser>
          <c:idx val="2"/>
          <c:order val="2"/>
          <c:tx>
            <c:v>Return on Equity</c:v>
          </c:tx>
          <c:spPr>
            <a:ln w="12700">
              <a:solidFill>
                <a:srgbClr val="FFFF00"/>
              </a:solidFill>
              <a:prstDash val="solid"/>
            </a:ln>
          </c:spPr>
          <c:marker>
            <c:symbol val="triangle"/>
            <c:size val="5"/>
            <c:spPr>
              <a:solidFill>
                <a:srgbClr val="FFFF00"/>
              </a:solidFill>
              <a:ln>
                <a:solidFill>
                  <a:srgbClr val="FFFF00"/>
                </a:solidFill>
                <a:prstDash val="solid"/>
              </a:ln>
            </c:spPr>
          </c:marker>
          <c:val>
            <c:numRef>
              <c:f>#REF!</c:f>
              <c:numCache>
                <c:formatCode>#,##0</c:formatCode>
                <c:ptCount val="10"/>
                <c:pt idx="0">
                  <c:v>18640.323555960549</c:v>
                </c:pt>
                <c:pt idx="1">
                  <c:v>19129.818941039106</c:v>
                </c:pt>
                <c:pt idx="2">
                  <c:v>19630.361326193786</c:v>
                </c:pt>
                <c:pt idx="3">
                  <c:v>20142.481074777203</c:v>
                </c:pt>
                <c:pt idx="4">
                  <c:v>20666.743497556439</c:v>
                </c:pt>
                <c:pt idx="5">
                  <c:v>21203.751128532331</c:v>
                </c:pt>
                <c:pt idx="6">
                  <c:v>21754.146141313417</c:v>
                </c:pt>
                <c:pt idx="7">
                  <c:v>22318.612914397949</c:v>
                </c:pt>
                <c:pt idx="8">
                  <c:v>22897.8807542047</c:v>
                </c:pt>
                <c:pt idx="9">
                  <c:v>23492.726785204944</c:v>
                </c:pt>
              </c:numCache>
            </c:numRef>
          </c:val>
          <c:smooth val="0"/>
        </c:ser>
        <c:dLbls>
          <c:showLegendKey val="0"/>
          <c:showVal val="0"/>
          <c:showCatName val="0"/>
          <c:showSerName val="0"/>
          <c:showPercent val="0"/>
          <c:showBubbleSize val="0"/>
        </c:dLbls>
        <c:marker val="1"/>
        <c:smooth val="0"/>
        <c:axId val="-1120366768"/>
        <c:axId val="-1120360784"/>
      </c:lineChart>
      <c:catAx>
        <c:axId val="-112036676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years</a:t>
                </a:r>
              </a:p>
            </c:rich>
          </c:tx>
          <c:layout>
            <c:manualLayout>
              <c:xMode val="edge"/>
              <c:yMode val="edge"/>
              <c:x val="0.41818219995230627"/>
              <c:y val="0.844205941648600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20360784"/>
        <c:crosses val="autoZero"/>
        <c:auto val="1"/>
        <c:lblAlgn val="ctr"/>
        <c:lblOffset val="100"/>
        <c:tickLblSkip val="1"/>
        <c:tickMarkSkip val="1"/>
        <c:noMultiLvlLbl val="0"/>
      </c:catAx>
      <c:valAx>
        <c:axId val="-112036078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Dollars</a:t>
                </a:r>
              </a:p>
            </c:rich>
          </c:tx>
          <c:layout>
            <c:manualLayout>
              <c:xMode val="edge"/>
              <c:yMode val="edge"/>
              <c:x val="4.3636363636363654E-2"/>
              <c:y val="0.3804363041576576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20366768"/>
        <c:crosses val="autoZero"/>
        <c:crossBetween val="midCat"/>
      </c:valAx>
      <c:spPr>
        <a:solidFill>
          <a:srgbClr val="C0C0C0"/>
        </a:solidFill>
        <a:ln w="12700">
          <a:solidFill>
            <a:srgbClr val="808080"/>
          </a:solidFill>
          <a:prstDash val="solid"/>
        </a:ln>
      </c:spPr>
    </c:plotArea>
    <c:legend>
      <c:legendPos val="r"/>
      <c:layout>
        <c:manualLayout>
          <c:xMode val="edge"/>
          <c:yMode val="edge"/>
          <c:x val="0.7036369362920547"/>
          <c:y val="0.36594317014722288"/>
          <c:w val="0.28363655452157654"/>
          <c:h val="0.2644935143976663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180975</xdr:colOff>
      <xdr:row>237</xdr:row>
      <xdr:rowOff>142875</xdr:rowOff>
    </xdr:from>
    <xdr:to>
      <xdr:col>8</xdr:col>
      <xdr:colOff>238125</xdr:colOff>
      <xdr:row>255</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230</xdr:row>
      <xdr:rowOff>142875</xdr:rowOff>
    </xdr:from>
    <xdr:to>
      <xdr:col>8</xdr:col>
      <xdr:colOff>238125</xdr:colOff>
      <xdr:row>248</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237</xdr:row>
      <xdr:rowOff>142875</xdr:rowOff>
    </xdr:from>
    <xdr:to>
      <xdr:col>8</xdr:col>
      <xdr:colOff>238125</xdr:colOff>
      <xdr:row>255</xdr:row>
      <xdr:rowOff>28575</xdr:rowOff>
    </xdr:to>
    <xdr:graphicFrame macro="">
      <xdr:nvGraphicFramePr>
        <xdr:cNvPr id="11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237</xdr:row>
      <xdr:rowOff>142875</xdr:rowOff>
    </xdr:from>
    <xdr:to>
      <xdr:col>8</xdr:col>
      <xdr:colOff>238125</xdr:colOff>
      <xdr:row>255</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mortgage-investments.com/" TargetMode="External"/><Relationship Id="rId2" Type="http://schemas.openxmlformats.org/officeDocument/2006/relationships/hyperlink" Target="http://www.mortgage-investments.com/" TargetMode="External"/><Relationship Id="rId1" Type="http://schemas.openxmlformats.org/officeDocument/2006/relationships/hyperlink" Target="http://www.mortgage-investments.com/"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mortgage-investments.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www.mortgage-investments.com/" TargetMode="External"/><Relationship Id="rId2" Type="http://schemas.openxmlformats.org/officeDocument/2006/relationships/hyperlink" Target="http://www.mortgage-investments.com/" TargetMode="External"/><Relationship Id="rId1" Type="http://schemas.openxmlformats.org/officeDocument/2006/relationships/hyperlink" Target="http://www.mortgage-investments.com/"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mortgage-investments.com/" TargetMode="External"/><Relationship Id="rId2" Type="http://schemas.openxmlformats.org/officeDocument/2006/relationships/hyperlink" Target="http://www.mortgage-investments.com/" TargetMode="External"/><Relationship Id="rId1" Type="http://schemas.openxmlformats.org/officeDocument/2006/relationships/hyperlink" Target="http://www.mortgage-investments.com/" TargetMode="Externa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40"/>
  <sheetViews>
    <sheetView workbookViewId="0">
      <pane xSplit="2" topLeftCell="C1" activePane="topRight" state="frozen"/>
      <selection pane="topRight" activeCell="O4" sqref="O4:O7"/>
    </sheetView>
  </sheetViews>
  <sheetFormatPr defaultRowHeight="12.75" x14ac:dyDescent="0.2"/>
  <cols>
    <col min="1" max="1" width="9" style="59"/>
    <col min="2" max="2" width="17.5" style="59" customWidth="1"/>
    <col min="3" max="3" width="12.5" style="59" customWidth="1"/>
    <col min="4" max="4" width="11.75" style="59" customWidth="1"/>
    <col min="5" max="5" width="8.5" style="59" customWidth="1"/>
    <col min="6" max="6" width="8.75" style="59" customWidth="1"/>
    <col min="7" max="7" width="10.5" style="59" customWidth="1"/>
    <col min="8" max="8" width="10.75" style="59" customWidth="1"/>
    <col min="9" max="9" width="11" style="59" customWidth="1"/>
    <col min="10" max="10" width="8.875" style="59" customWidth="1"/>
    <col min="11" max="11" width="6.875" style="59" customWidth="1"/>
    <col min="12" max="12" width="9.375" style="59" customWidth="1"/>
    <col min="13" max="13" width="8.5" style="59" customWidth="1"/>
    <col min="14" max="14" width="18.25" style="59" customWidth="1"/>
    <col min="15" max="15" width="8.125" style="59" customWidth="1"/>
    <col min="16" max="16" width="9.75" style="59" customWidth="1"/>
    <col min="17" max="17" width="8.25" style="59" customWidth="1"/>
    <col min="18" max="16384" width="9" style="59"/>
  </cols>
  <sheetData>
    <row r="1" spans="1:19" s="45" customFormat="1" x14ac:dyDescent="0.2">
      <c r="B1" s="44"/>
      <c r="C1" s="46"/>
      <c r="D1" s="46"/>
      <c r="F1" s="46"/>
      <c r="G1" s="47"/>
      <c r="H1" s="47"/>
      <c r="I1" s="48"/>
      <c r="J1" s="48"/>
      <c r="K1" s="50"/>
      <c r="L1" s="48"/>
      <c r="M1" s="48"/>
      <c r="N1" s="48"/>
    </row>
    <row r="2" spans="1:19" s="52" customFormat="1" x14ac:dyDescent="0.2">
      <c r="A2" s="87" t="s">
        <v>228</v>
      </c>
      <c r="B2" s="51" t="s">
        <v>229</v>
      </c>
      <c r="C2" s="45" t="s">
        <v>222</v>
      </c>
    </row>
    <row r="3" spans="1:19" s="52" customFormat="1" x14ac:dyDescent="0.2">
      <c r="B3" s="51"/>
      <c r="C3" s="52" t="s">
        <v>215</v>
      </c>
      <c r="D3" s="52" t="s">
        <v>205</v>
      </c>
      <c r="E3" s="51" t="s">
        <v>206</v>
      </c>
      <c r="F3" s="52" t="s">
        <v>184</v>
      </c>
      <c r="G3" s="52" t="s">
        <v>202</v>
      </c>
      <c r="H3" s="52" t="s">
        <v>201</v>
      </c>
      <c r="I3" s="52" t="s">
        <v>204</v>
      </c>
      <c r="J3" s="52" t="s">
        <v>186</v>
      </c>
      <c r="K3" s="52" t="s">
        <v>185</v>
      </c>
      <c r="L3" s="52" t="s">
        <v>203</v>
      </c>
      <c r="M3" s="52" t="s">
        <v>225</v>
      </c>
      <c r="N3" s="52" t="s">
        <v>238</v>
      </c>
      <c r="O3" s="97" t="s">
        <v>217</v>
      </c>
      <c r="P3" s="52" t="s">
        <v>232</v>
      </c>
    </row>
    <row r="4" spans="1:19" s="52" customFormat="1" ht="14.25" customHeight="1" x14ac:dyDescent="0.2">
      <c r="A4" s="86">
        <v>169</v>
      </c>
      <c r="B4" s="51" t="s">
        <v>191</v>
      </c>
      <c r="C4" s="67">
        <v>455000</v>
      </c>
      <c r="D4" s="67">
        <f t="shared" ref="D4:D7" si="0">C4*0.2</f>
        <v>91000</v>
      </c>
      <c r="E4" s="53">
        <f>'169'!D218</f>
        <v>26469.22078379861</v>
      </c>
      <c r="F4" s="52">
        <v>7</v>
      </c>
      <c r="G4" s="67">
        <f>'169'!H24</f>
        <v>78648</v>
      </c>
      <c r="H4" s="67">
        <f>G4/12</f>
        <v>6554</v>
      </c>
      <c r="I4" s="67">
        <f>'169'!D217</f>
        <v>37760.012000000002</v>
      </c>
      <c r="J4" s="54">
        <f>'169'!C19</f>
        <v>0.14083841429671864</v>
      </c>
      <c r="K4" s="54">
        <f>'169'!C22</f>
        <v>0.36090989085674446</v>
      </c>
      <c r="L4" s="67">
        <f>'169'!C20</f>
        <v>12816.295701001396</v>
      </c>
      <c r="M4" s="67">
        <f>'169'!C23</f>
        <v>5977.2480000000005</v>
      </c>
      <c r="N4" s="67">
        <f t="shared" ref="N4:N7" si="1">SUM(L4:M4)</f>
        <v>18793.543701001396</v>
      </c>
      <c r="O4" s="100">
        <f t="shared" ref="O4:O9" si="2">I4/C4</f>
        <v>8.2989037362637366E-2</v>
      </c>
      <c r="P4" s="83">
        <f>H4/C4</f>
        <v>1.4404395604395605E-2</v>
      </c>
      <c r="R4" s="82"/>
      <c r="S4" s="83"/>
    </row>
    <row r="5" spans="1:19" ht="15.75" customHeight="1" x14ac:dyDescent="0.2">
      <c r="A5" s="86">
        <v>17</v>
      </c>
      <c r="B5" s="61" t="s">
        <v>216</v>
      </c>
      <c r="C5" s="77">
        <v>485000</v>
      </c>
      <c r="D5" s="67">
        <f t="shared" si="0"/>
        <v>97000</v>
      </c>
      <c r="E5" s="63">
        <f>'17'!D211</f>
        <v>28214.444132180935</v>
      </c>
      <c r="F5" s="59">
        <v>7</v>
      </c>
      <c r="G5" s="77">
        <f>'17'!H17</f>
        <v>74040</v>
      </c>
      <c r="H5" s="77">
        <f>G5/12</f>
        <v>6170</v>
      </c>
      <c r="I5" s="77">
        <f>'17'!D210</f>
        <v>34198.26</v>
      </c>
      <c r="J5" s="76">
        <f>'17'!C12</f>
        <v>6.1688823379578005E-2</v>
      </c>
      <c r="K5" s="76">
        <f>'17'!C15</f>
        <v>0.28648871717272723</v>
      </c>
      <c r="L5" s="77">
        <f>'17'!C13</f>
        <v>5983.8158678190666</v>
      </c>
      <c r="M5" s="77">
        <f>'17'!C16</f>
        <v>5627.04</v>
      </c>
      <c r="N5" s="67">
        <f t="shared" si="1"/>
        <v>11610.855867819067</v>
      </c>
      <c r="O5" s="100">
        <f t="shared" si="2"/>
        <v>7.0511876288659792E-2</v>
      </c>
      <c r="P5" s="83">
        <f>H5/C5</f>
        <v>1.2721649484536083E-2</v>
      </c>
      <c r="R5" s="82"/>
      <c r="S5" s="83"/>
    </row>
    <row r="6" spans="1:19" s="52" customFormat="1" x14ac:dyDescent="0.2">
      <c r="A6" s="86">
        <v>60</v>
      </c>
      <c r="B6" s="51" t="s">
        <v>197</v>
      </c>
      <c r="C6" s="78">
        <v>285000</v>
      </c>
      <c r="D6" s="67">
        <f t="shared" si="0"/>
        <v>57000</v>
      </c>
      <c r="E6" s="53">
        <f>'60'!D218</f>
        <v>15202.788363703778</v>
      </c>
      <c r="F6" s="52">
        <v>4</v>
      </c>
      <c r="G6" s="67">
        <f>'60'!H24</f>
        <v>47580</v>
      </c>
      <c r="H6" s="67">
        <f t="shared" ref="H6" si="3">G6/12</f>
        <v>3965</v>
      </c>
      <c r="I6" s="67">
        <f>'60'!D217</f>
        <v>22050.77</v>
      </c>
      <c r="J6" s="54">
        <f>'60'!C19</f>
        <v>0.12354232264908846</v>
      </c>
      <c r="K6" s="54">
        <f>'60'!D149</f>
        <v>0.17096403736324883</v>
      </c>
      <c r="L6" s="67">
        <f>'60'!C20</f>
        <v>7288.9970362962194</v>
      </c>
      <c r="M6" s="67">
        <f>'60'!C23</f>
        <v>3616.08</v>
      </c>
      <c r="N6" s="67">
        <f t="shared" si="1"/>
        <v>10905.077036296219</v>
      </c>
      <c r="O6" s="100">
        <f t="shared" si="2"/>
        <v>7.7371122807017551E-2</v>
      </c>
      <c r="P6" s="83">
        <f>H6/C6</f>
        <v>1.3912280701754386E-2</v>
      </c>
      <c r="R6" s="82"/>
      <c r="S6" s="83"/>
    </row>
    <row r="7" spans="1:19" s="52" customFormat="1" x14ac:dyDescent="0.2">
      <c r="A7" s="86">
        <v>28</v>
      </c>
      <c r="B7" s="51" t="s">
        <v>198</v>
      </c>
      <c r="C7" s="67">
        <v>250000</v>
      </c>
      <c r="D7" s="67">
        <f t="shared" si="0"/>
        <v>50000</v>
      </c>
      <c r="E7" s="53">
        <f>'28'!D218</f>
        <v>16472.495250847773</v>
      </c>
      <c r="F7" s="52">
        <v>4</v>
      </c>
      <c r="G7" s="67">
        <f>'28'!H24</f>
        <v>41040</v>
      </c>
      <c r="H7" s="67">
        <f t="shared" ref="H7" si="4">G7/12</f>
        <v>3420</v>
      </c>
      <c r="I7" s="67">
        <f>'28'!D217</f>
        <v>18814.16</v>
      </c>
      <c r="J7" s="54">
        <f>'28'!C19</f>
        <v>4.5032014406773596E-2</v>
      </c>
      <c r="K7" s="54">
        <f>'28'!C22</f>
        <v>0.26272908581063903</v>
      </c>
      <c r="L7" s="67">
        <f>'28'!C20</f>
        <v>18814.16</v>
      </c>
      <c r="M7" s="67">
        <f>'28'!C23</f>
        <v>3119.04</v>
      </c>
      <c r="N7" s="67">
        <f t="shared" si="1"/>
        <v>21933.200000000001</v>
      </c>
      <c r="O7" s="100">
        <f t="shared" si="2"/>
        <v>7.525664E-2</v>
      </c>
      <c r="P7" s="83">
        <f>H7/C7</f>
        <v>1.3679999999999999E-2</v>
      </c>
      <c r="R7" s="82"/>
      <c r="S7" s="83"/>
    </row>
    <row r="8" spans="1:19" s="52" customFormat="1" ht="13.5" thickBot="1" x14ac:dyDescent="0.25">
      <c r="C8" s="67"/>
      <c r="D8" s="56"/>
      <c r="E8" s="56"/>
      <c r="F8" s="56"/>
      <c r="G8" s="56"/>
      <c r="H8" s="56"/>
      <c r="I8" s="56"/>
      <c r="J8" s="56"/>
      <c r="K8" s="76"/>
      <c r="L8" s="56"/>
      <c r="M8" s="56"/>
      <c r="N8" s="56"/>
      <c r="O8" s="98"/>
      <c r="S8" s="83"/>
    </row>
    <row r="9" spans="1:19" s="51" customFormat="1" ht="13.5" thickBot="1" x14ac:dyDescent="0.25">
      <c r="B9" s="51" t="s">
        <v>190</v>
      </c>
      <c r="C9" s="55">
        <f t="shared" ref="C9:I9" si="5">SUM(C4:C7)</f>
        <v>1475000</v>
      </c>
      <c r="D9" s="55">
        <f t="shared" si="5"/>
        <v>295000</v>
      </c>
      <c r="E9" s="55">
        <f t="shared" si="5"/>
        <v>86358.948530531095</v>
      </c>
      <c r="F9" s="57">
        <f t="shared" si="5"/>
        <v>22</v>
      </c>
      <c r="G9" s="55">
        <f t="shared" si="5"/>
        <v>241308</v>
      </c>
      <c r="H9" s="55">
        <f t="shared" si="5"/>
        <v>20109</v>
      </c>
      <c r="I9" s="55">
        <f t="shared" si="5"/>
        <v>112823.202</v>
      </c>
      <c r="J9" s="55"/>
      <c r="K9" s="77"/>
      <c r="L9" s="55">
        <f>SUM(L4:L7)</f>
        <v>44903.268605116682</v>
      </c>
      <c r="M9" s="55">
        <f>SUM(M4:M7)</f>
        <v>18339.407999999999</v>
      </c>
      <c r="N9" s="62">
        <f>SUM(N4:N7)</f>
        <v>63242.676605116678</v>
      </c>
      <c r="O9" s="99">
        <f t="shared" si="2"/>
        <v>7.6490306440677974E-2</v>
      </c>
      <c r="S9" s="83"/>
    </row>
    <row r="10" spans="1:19" s="51" customFormat="1" x14ac:dyDescent="0.2">
      <c r="D10" s="58"/>
      <c r="E10" s="55"/>
      <c r="F10" s="55"/>
      <c r="G10" s="55"/>
      <c r="H10" s="55"/>
      <c r="I10" s="55"/>
      <c r="J10" s="55"/>
      <c r="K10" s="55"/>
      <c r="L10" s="60"/>
      <c r="M10" s="53"/>
      <c r="N10" s="53"/>
    </row>
    <row r="11" spans="1:19" s="51" customFormat="1" x14ac:dyDescent="0.2">
      <c r="D11" s="58"/>
      <c r="E11" s="55"/>
      <c r="F11" s="55"/>
      <c r="G11" s="55"/>
      <c r="H11" s="55"/>
      <c r="I11" s="55"/>
      <c r="J11" s="55"/>
      <c r="K11" s="55"/>
      <c r="L11" s="60"/>
      <c r="M11" s="53"/>
      <c r="N11" s="53"/>
    </row>
    <row r="12" spans="1:19" s="51" customFormat="1" x14ac:dyDescent="0.2">
      <c r="C12" s="55"/>
      <c r="D12" s="55" t="s">
        <v>199</v>
      </c>
      <c r="G12" s="96">
        <f>L9</f>
        <v>44903.268605116682</v>
      </c>
      <c r="H12" s="53" t="s">
        <v>237</v>
      </c>
    </row>
    <row r="13" spans="1:19" s="61" customFormat="1" x14ac:dyDescent="0.2">
      <c r="C13" s="62"/>
      <c r="D13" s="62" t="s">
        <v>200</v>
      </c>
      <c r="E13" s="62"/>
      <c r="G13" s="62">
        <f>G9*0.05</f>
        <v>12065.400000000001</v>
      </c>
      <c r="H13" s="63" t="s">
        <v>236</v>
      </c>
    </row>
    <row r="14" spans="1:19" s="61" customFormat="1" x14ac:dyDescent="0.2">
      <c r="C14" s="62"/>
      <c r="D14" s="62"/>
      <c r="E14" s="62"/>
      <c r="G14" s="62"/>
      <c r="H14" s="63"/>
      <c r="I14" s="63"/>
    </row>
    <row r="15" spans="1:19" s="61" customFormat="1" x14ac:dyDescent="0.2">
      <c r="D15" s="62"/>
      <c r="E15" s="62"/>
      <c r="F15" s="62"/>
      <c r="G15" s="74" t="s">
        <v>208</v>
      </c>
      <c r="H15" s="63" t="s">
        <v>186</v>
      </c>
      <c r="I15" s="49" t="s">
        <v>211</v>
      </c>
      <c r="J15" s="63" t="s">
        <v>186</v>
      </c>
    </row>
    <row r="16" spans="1:19" s="61" customFormat="1" x14ac:dyDescent="0.2">
      <c r="C16" s="62" t="s">
        <v>239</v>
      </c>
      <c r="F16" s="62"/>
      <c r="G16" s="62">
        <f>SUM(G12:G13)</f>
        <v>56968.668605116683</v>
      </c>
      <c r="H16" s="81">
        <f>G16/D9</f>
        <v>0.19311413086480231</v>
      </c>
      <c r="I16" s="62">
        <f>G16-$G$13</f>
        <v>44903.268605116682</v>
      </c>
      <c r="J16" s="81">
        <f>I16/D9</f>
        <v>0.15221446984785317</v>
      </c>
    </row>
    <row r="17" spans="2:11" s="61" customFormat="1" x14ac:dyDescent="0.2">
      <c r="C17" s="61" t="s">
        <v>240</v>
      </c>
      <c r="G17" s="62">
        <f>G16+(G9*0.08)</f>
        <v>76273.308605116676</v>
      </c>
      <c r="H17" s="81">
        <f>G17/D9</f>
        <v>0.25855358849192095</v>
      </c>
      <c r="I17" s="62">
        <f>G12+(G9*0.08)</f>
        <v>64207.908605116681</v>
      </c>
      <c r="J17" s="81">
        <f>I17/D9</f>
        <v>0.21765392747497181</v>
      </c>
    </row>
    <row r="18" spans="2:11" x14ac:dyDescent="0.2">
      <c r="C18" s="62" t="s">
        <v>241</v>
      </c>
      <c r="G18" s="62">
        <f>G16+E9-K11-(E10*12)</f>
        <v>143327.61713564777</v>
      </c>
      <c r="H18" s="81">
        <f>G18/C9</f>
        <v>9.7171265854676461E-2</v>
      </c>
      <c r="I18" s="62">
        <f>G18-G13</f>
        <v>131262.21713564778</v>
      </c>
      <c r="J18" s="81">
        <f>I18/C9</f>
        <v>8.8991333651286628E-2</v>
      </c>
      <c r="K18" s="59" t="s">
        <v>242</v>
      </c>
    </row>
    <row r="19" spans="2:11" x14ac:dyDescent="0.2">
      <c r="C19" s="62"/>
      <c r="G19" s="62"/>
      <c r="H19" s="81"/>
    </row>
    <row r="21" spans="2:11" x14ac:dyDescent="0.2">
      <c r="B21" s="64"/>
      <c r="C21" s="90"/>
      <c r="D21" s="66"/>
      <c r="E21" s="61"/>
      <c r="H21" s="61" t="s">
        <v>218</v>
      </c>
    </row>
    <row r="22" spans="2:11" x14ac:dyDescent="0.2">
      <c r="B22" s="64"/>
      <c r="C22" s="91"/>
      <c r="D22" s="63"/>
      <c r="E22" s="63"/>
      <c r="H22" s="1" t="s">
        <v>186</v>
      </c>
      <c r="I22" s="39">
        <f>(SUM(L9))/(SUM(D9))</f>
        <v>0.15221446984785317</v>
      </c>
    </row>
    <row r="23" spans="2:11" x14ac:dyDescent="0.2">
      <c r="B23" s="64"/>
      <c r="C23" s="65"/>
      <c r="D23" s="63"/>
      <c r="E23" s="63"/>
      <c r="H23" s="1" t="s">
        <v>230</v>
      </c>
      <c r="I23" s="88">
        <f>L9</f>
        <v>44903.268605116682</v>
      </c>
    </row>
    <row r="24" spans="2:11" x14ac:dyDescent="0.2">
      <c r="B24" s="64"/>
      <c r="C24" s="65"/>
      <c r="D24" s="63"/>
      <c r="E24" s="63"/>
      <c r="H24" s="1"/>
      <c r="I24" s="38"/>
    </row>
    <row r="25" spans="2:11" x14ac:dyDescent="0.2">
      <c r="B25" s="64"/>
      <c r="C25" s="65"/>
      <c r="D25" s="63"/>
      <c r="E25" s="63"/>
      <c r="H25" s="43" t="s">
        <v>188</v>
      </c>
      <c r="I25" s="80">
        <f>(SUM('169:28'!D142))/(SUM('169:28'!D147))</f>
        <v>0.2685529449662124</v>
      </c>
      <c r="J25" s="59" t="s">
        <v>231</v>
      </c>
    </row>
    <row r="26" spans="2:11" x14ac:dyDescent="0.2">
      <c r="B26" s="64"/>
      <c r="C26" s="65"/>
      <c r="D26" s="63"/>
      <c r="E26" s="63"/>
    </row>
    <row r="27" spans="2:11" x14ac:dyDescent="0.2">
      <c r="B27" s="64"/>
      <c r="C27" s="65"/>
      <c r="D27" s="63"/>
      <c r="E27" s="63"/>
    </row>
    <row r="28" spans="2:11" x14ac:dyDescent="0.2">
      <c r="B28" s="64"/>
      <c r="C28" s="65"/>
      <c r="D28" s="63"/>
      <c r="E28" s="63"/>
      <c r="G28" s="61" t="s">
        <v>212</v>
      </c>
    </row>
    <row r="29" spans="2:11" x14ac:dyDescent="0.2">
      <c r="B29" s="64"/>
      <c r="C29" s="65"/>
      <c r="D29" s="63"/>
      <c r="E29" s="63"/>
      <c r="G29" s="59" t="s">
        <v>213</v>
      </c>
    </row>
    <row r="30" spans="2:11" x14ac:dyDescent="0.2">
      <c r="B30" s="64"/>
      <c r="C30" s="65"/>
      <c r="D30" s="63"/>
      <c r="E30" s="63"/>
      <c r="G30" s="59" t="s">
        <v>214</v>
      </c>
    </row>
    <row r="31" spans="2:11" x14ac:dyDescent="0.2">
      <c r="B31" s="64"/>
      <c r="C31" s="65"/>
      <c r="D31" s="63"/>
      <c r="E31" s="63"/>
    </row>
    <row r="32" spans="2:11" x14ac:dyDescent="0.2">
      <c r="B32" s="64"/>
      <c r="C32" s="65"/>
      <c r="D32" s="63"/>
      <c r="E32" s="63"/>
    </row>
    <row r="33" spans="1:18" x14ac:dyDescent="0.2">
      <c r="B33" s="64"/>
      <c r="C33" s="65"/>
      <c r="D33" s="63"/>
      <c r="E33" s="63"/>
      <c r="K33" s="75"/>
    </row>
    <row r="34" spans="1:18" x14ac:dyDescent="0.2">
      <c r="B34" s="64"/>
      <c r="C34" s="65"/>
      <c r="D34" s="63"/>
      <c r="E34" s="63"/>
      <c r="K34" s="75"/>
    </row>
    <row r="35" spans="1:18" x14ac:dyDescent="0.2">
      <c r="B35" s="64"/>
      <c r="C35" s="65"/>
      <c r="D35" s="63"/>
      <c r="E35" s="63"/>
    </row>
    <row r="36" spans="1:18" s="52" customFormat="1" x14ac:dyDescent="0.2">
      <c r="A36" s="86"/>
      <c r="B36" s="51"/>
      <c r="C36" s="67"/>
      <c r="D36" s="82"/>
      <c r="E36" s="56"/>
      <c r="G36" s="53"/>
      <c r="H36" s="53"/>
      <c r="I36" s="53"/>
      <c r="J36" s="54"/>
      <c r="K36" s="54"/>
      <c r="L36" s="53"/>
      <c r="M36" s="53"/>
      <c r="N36" s="53"/>
      <c r="O36" s="89"/>
      <c r="P36" s="54"/>
      <c r="Q36" s="54"/>
      <c r="R36" s="83"/>
    </row>
    <row r="38" spans="1:18" x14ac:dyDescent="0.2">
      <c r="B38" s="64"/>
      <c r="D38" s="63"/>
      <c r="E38" s="63"/>
    </row>
    <row r="39" spans="1:18" x14ac:dyDescent="0.2">
      <c r="D39" s="63"/>
      <c r="E39" s="63"/>
    </row>
    <row r="40" spans="1:18" x14ac:dyDescent="0.2">
      <c r="D40" s="49"/>
      <c r="E40" s="49"/>
    </row>
  </sheetData>
  <pageMargins left="0.7" right="0.7" top="0.75" bottom="0.75" header="0.3" footer="0.3"/>
  <pageSetup scale="59" orientation="landscape" horizontalDpi="429496729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9"/>
  <sheetViews>
    <sheetView workbookViewId="0">
      <selection activeCell="K31" sqref="K31"/>
    </sheetView>
  </sheetViews>
  <sheetFormatPr defaultColWidth="10" defaultRowHeight="12" x14ac:dyDescent="0.15"/>
  <cols>
    <col min="1" max="2" width="7.75" style="23" customWidth="1"/>
    <col min="3" max="3" width="11.125" style="23" customWidth="1"/>
    <col min="4" max="4" width="8.25" style="23" customWidth="1"/>
    <col min="5" max="5" width="7.625" style="28" customWidth="1"/>
    <col min="6" max="6" width="8.875" style="23" customWidth="1"/>
    <col min="7" max="7" width="8.125" style="23" customWidth="1"/>
    <col min="8" max="8" width="8.5" style="23" customWidth="1"/>
    <col min="9" max="9" width="8.375" style="23" customWidth="1"/>
    <col min="10" max="10" width="8.25" style="23" customWidth="1"/>
    <col min="11" max="11" width="8.75" style="23" customWidth="1"/>
    <col min="12" max="12" width="10.875" style="23" customWidth="1"/>
    <col min="13" max="13" width="9.5" style="23" customWidth="1"/>
    <col min="14" max="16384" width="10" style="23"/>
  </cols>
  <sheetData>
    <row r="1" spans="1:13" ht="12.75" x14ac:dyDescent="0.2">
      <c r="A1" s="1"/>
      <c r="B1" s="1"/>
      <c r="C1" s="1"/>
      <c r="D1" s="1"/>
      <c r="E1" s="3"/>
      <c r="F1" s="1"/>
      <c r="G1" s="1"/>
      <c r="H1" s="1"/>
      <c r="I1" s="1"/>
      <c r="J1" s="1"/>
      <c r="K1" s="1"/>
      <c r="L1" s="1"/>
      <c r="M1" s="1"/>
    </row>
    <row r="2" spans="1:13" ht="12.75" x14ac:dyDescent="0.2">
      <c r="A2" s="1"/>
      <c r="B2" s="1"/>
      <c r="C2" s="1"/>
      <c r="D2" s="1"/>
      <c r="E2" s="2" t="s">
        <v>99</v>
      </c>
      <c r="F2" s="1"/>
      <c r="G2" s="1"/>
      <c r="H2" s="1"/>
      <c r="I2" s="1"/>
      <c r="J2" s="1"/>
      <c r="K2" s="1"/>
      <c r="L2" s="2" t="s">
        <v>181</v>
      </c>
      <c r="M2" s="1"/>
    </row>
    <row r="3" spans="1:13" ht="12.75" x14ac:dyDescent="0.2">
      <c r="A3" s="1"/>
      <c r="B3" s="1"/>
      <c r="C3" s="1"/>
      <c r="D3" s="1"/>
      <c r="E3" s="4"/>
      <c r="F3" s="1"/>
      <c r="G3" s="1"/>
      <c r="H3" s="1"/>
      <c r="I3" s="1"/>
      <c r="J3" s="1"/>
      <c r="K3" s="1"/>
      <c r="L3" s="2"/>
      <c r="M3" s="1"/>
    </row>
    <row r="4" spans="1:13" ht="12.75" x14ac:dyDescent="0.2">
      <c r="A4" s="1"/>
      <c r="B4" s="1"/>
      <c r="C4" s="1"/>
      <c r="D4" s="1"/>
      <c r="E4" s="4"/>
      <c r="F4" s="1"/>
      <c r="G4" s="1"/>
      <c r="H4" s="1"/>
      <c r="I4" s="1"/>
      <c r="J4" s="1"/>
      <c r="K4" s="1"/>
      <c r="L4" s="2"/>
      <c r="M4" s="1"/>
    </row>
    <row r="5" spans="1:13" ht="12.75" x14ac:dyDescent="0.2">
      <c r="A5" s="1" t="s">
        <v>153</v>
      </c>
      <c r="C5" s="1"/>
      <c r="D5" s="1"/>
      <c r="E5" s="3"/>
      <c r="F5" s="2"/>
      <c r="G5" s="1"/>
      <c r="H5" s="1"/>
      <c r="I5" s="1"/>
      <c r="J5" s="1"/>
      <c r="K5" s="1"/>
      <c r="L5" s="1"/>
      <c r="M5" s="1"/>
    </row>
    <row r="6" spans="1:13" ht="12.75" x14ac:dyDescent="0.2">
      <c r="A6" s="1" t="s">
        <v>162</v>
      </c>
      <c r="C6" s="1"/>
      <c r="D6" s="1"/>
      <c r="E6" s="3"/>
      <c r="F6" s="2"/>
      <c r="G6" s="1"/>
      <c r="H6" s="1"/>
      <c r="I6" s="1"/>
      <c r="J6" s="1"/>
      <c r="K6" s="1"/>
      <c r="L6" s="1"/>
      <c r="M6" s="1"/>
    </row>
    <row r="7" spans="1:13" ht="12.75" x14ac:dyDescent="0.2">
      <c r="A7" s="24" t="s">
        <v>163</v>
      </c>
      <c r="C7" s="25"/>
      <c r="D7" s="1"/>
      <c r="E7" s="3"/>
      <c r="F7" s="2"/>
      <c r="G7" s="1"/>
      <c r="H7" s="1"/>
      <c r="I7" s="1"/>
      <c r="J7" s="1"/>
      <c r="K7" s="1"/>
      <c r="L7" s="1"/>
      <c r="M7" s="1"/>
    </row>
    <row r="8" spans="1:13" ht="12.75" x14ac:dyDescent="0.2">
      <c r="A8" s="1" t="s">
        <v>164</v>
      </c>
      <c r="B8" s="1"/>
      <c r="C8" s="1"/>
      <c r="D8" s="1"/>
      <c r="E8" s="3"/>
      <c r="F8" s="2"/>
      <c r="G8" s="1"/>
      <c r="H8" s="1"/>
      <c r="I8" s="1"/>
      <c r="J8" s="1"/>
      <c r="K8" s="1"/>
      <c r="L8" s="1"/>
      <c r="M8" s="1"/>
    </row>
    <row r="9" spans="1:13" ht="12.75" x14ac:dyDescent="0.2">
      <c r="A9" s="1"/>
      <c r="B9" s="1"/>
      <c r="C9" s="1"/>
      <c r="D9" s="1"/>
      <c r="E9" s="3"/>
      <c r="F9" s="2"/>
      <c r="G9" s="1"/>
      <c r="H9" s="1"/>
      <c r="I9" s="1"/>
      <c r="J9" s="1"/>
      <c r="K9" s="1"/>
      <c r="L9" s="1"/>
      <c r="M9" s="1"/>
    </row>
    <row r="10" spans="1:13" ht="12.75" x14ac:dyDescent="0.2">
      <c r="A10" s="1"/>
      <c r="B10" s="1"/>
      <c r="C10" s="1"/>
      <c r="D10" s="26" t="s">
        <v>165</v>
      </c>
      <c r="E10" s="3"/>
      <c r="F10" s="1"/>
      <c r="G10" s="1"/>
      <c r="H10" s="1"/>
      <c r="I10" s="1"/>
      <c r="J10" s="1"/>
      <c r="K10" s="1"/>
      <c r="L10" s="22">
        <f ca="1">TRUNC(NOW())</f>
        <v>45050</v>
      </c>
      <c r="M10" s="1"/>
    </row>
    <row r="11" spans="1:13" ht="12.75" x14ac:dyDescent="0.2">
      <c r="A11" s="1"/>
      <c r="B11" s="1"/>
      <c r="C11" s="1"/>
      <c r="D11" s="26"/>
      <c r="E11" s="3"/>
      <c r="F11" s="1"/>
      <c r="G11" s="1"/>
      <c r="H11" s="1"/>
      <c r="I11" s="1"/>
      <c r="J11" s="1"/>
      <c r="K11" s="1"/>
      <c r="L11" s="27"/>
      <c r="M11" s="1"/>
    </row>
    <row r="12" spans="1:13" x14ac:dyDescent="0.15">
      <c r="A12" s="23" t="s">
        <v>161</v>
      </c>
    </row>
    <row r="13" spans="1:13" x14ac:dyDescent="0.15">
      <c r="A13" s="23" t="s">
        <v>160</v>
      </c>
    </row>
    <row r="15" spans="1:13" x14ac:dyDescent="0.15">
      <c r="A15" s="23" t="s">
        <v>177</v>
      </c>
    </row>
    <row r="16" spans="1:13" x14ac:dyDescent="0.15">
      <c r="A16" s="23" t="s">
        <v>178</v>
      </c>
    </row>
    <row r="17" spans="1:13" ht="12.75" x14ac:dyDescent="0.2">
      <c r="A17" s="1"/>
      <c r="B17" s="1"/>
      <c r="C17" s="1"/>
      <c r="D17" s="1"/>
      <c r="E17" s="3"/>
      <c r="F17" s="1"/>
      <c r="G17" s="1"/>
      <c r="H17" s="1"/>
      <c r="I17" s="1"/>
      <c r="J17" s="1"/>
      <c r="K17" s="1"/>
      <c r="L17" s="1"/>
      <c r="M17" s="1"/>
    </row>
    <row r="18" spans="1:13" ht="12.75" x14ac:dyDescent="0.2">
      <c r="A18" s="1"/>
      <c r="B18" s="1"/>
      <c r="C18" s="1"/>
      <c r="D18" s="1"/>
      <c r="E18" s="2" t="s">
        <v>1</v>
      </c>
      <c r="F18" s="1"/>
      <c r="G18" s="1"/>
      <c r="H18" s="5">
        <v>455000</v>
      </c>
      <c r="I18" s="1"/>
      <c r="J18" s="1"/>
      <c r="K18" s="1"/>
      <c r="L18" s="1"/>
      <c r="M18" s="1"/>
    </row>
    <row r="19" spans="1:13" ht="12.75" x14ac:dyDescent="0.2">
      <c r="A19" s="1"/>
      <c r="B19" s="1" t="s">
        <v>186</v>
      </c>
      <c r="C19" s="39">
        <f>F100/H19</f>
        <v>0.14083841429671864</v>
      </c>
      <c r="D19" s="1"/>
      <c r="E19" s="2" t="s">
        <v>2</v>
      </c>
      <c r="F19" s="1"/>
      <c r="G19" s="1"/>
      <c r="H19" s="5">
        <f>H18*0.2</f>
        <v>91000</v>
      </c>
      <c r="I19" s="40"/>
      <c r="J19" s="38"/>
      <c r="K19" s="38"/>
      <c r="L19" s="1"/>
      <c r="M19" s="1"/>
    </row>
    <row r="20" spans="1:13" ht="12.75" x14ac:dyDescent="0.2">
      <c r="A20" s="1"/>
      <c r="B20" s="1" t="s">
        <v>187</v>
      </c>
      <c r="C20" s="38">
        <f>F100</f>
        <v>12816.295701001396</v>
      </c>
      <c r="D20" s="1"/>
      <c r="E20" s="2" t="s">
        <v>3</v>
      </c>
      <c r="F20" s="1"/>
      <c r="G20" s="1"/>
      <c r="H20" s="6">
        <v>4</v>
      </c>
      <c r="I20" s="2" t="s">
        <v>115</v>
      </c>
      <c r="J20" s="1"/>
      <c r="K20" s="1"/>
      <c r="L20" s="1"/>
      <c r="M20" s="1"/>
    </row>
    <row r="21" spans="1:13" ht="12.75" x14ac:dyDescent="0.2">
      <c r="A21" s="1"/>
      <c r="B21" s="1" t="s">
        <v>223</v>
      </c>
      <c r="C21" s="84">
        <f>D92/H18</f>
        <v>8.2989037362637366E-2</v>
      </c>
      <c r="D21" s="1"/>
      <c r="E21" s="2" t="s">
        <v>5</v>
      </c>
      <c r="F21" s="1"/>
      <c r="G21" s="1"/>
      <c r="H21" s="7">
        <v>20</v>
      </c>
      <c r="I21" s="2" t="s">
        <v>6</v>
      </c>
      <c r="J21" s="1"/>
      <c r="K21" s="1"/>
      <c r="L21" s="1"/>
      <c r="M21" s="1"/>
    </row>
    <row r="22" spans="1:13" ht="12.75" x14ac:dyDescent="0.2">
      <c r="A22" s="1"/>
      <c r="B22" s="1" t="s">
        <v>188</v>
      </c>
      <c r="C22" s="39">
        <f>F149</f>
        <v>0.36090989085674446</v>
      </c>
      <c r="D22" s="1"/>
      <c r="E22" s="2" t="s">
        <v>7</v>
      </c>
      <c r="F22" s="1"/>
      <c r="G22" s="1"/>
      <c r="H22" s="7">
        <v>85</v>
      </c>
      <c r="I22" s="2" t="s">
        <v>4</v>
      </c>
      <c r="J22" s="1" t="s">
        <v>157</v>
      </c>
      <c r="K22" s="1"/>
      <c r="L22" s="1"/>
      <c r="M22" s="1"/>
    </row>
    <row r="23" spans="1:13" ht="12.75" x14ac:dyDescent="0.2">
      <c r="A23" s="1"/>
      <c r="B23" s="1" t="s">
        <v>224</v>
      </c>
      <c r="C23" s="38">
        <f>D81</f>
        <v>5977.2480000000005</v>
      </c>
      <c r="D23" s="1"/>
      <c r="E23" s="2" t="s">
        <v>8</v>
      </c>
      <c r="F23" s="1"/>
      <c r="G23" s="1"/>
      <c r="H23" s="7">
        <v>27.5</v>
      </c>
      <c r="I23" s="2" t="s">
        <v>169</v>
      </c>
      <c r="J23" s="1"/>
      <c r="L23" s="1" t="s">
        <v>168</v>
      </c>
      <c r="M23" s="1"/>
    </row>
    <row r="24" spans="1:13" ht="12.75" x14ac:dyDescent="0.2">
      <c r="A24" s="1"/>
      <c r="B24" s="1"/>
      <c r="C24" s="1"/>
      <c r="D24" s="1"/>
      <c r="E24" s="2" t="s">
        <v>97</v>
      </c>
      <c r="F24" s="1"/>
      <c r="G24" s="1"/>
      <c r="H24" s="5">
        <f>C37</f>
        <v>78648</v>
      </c>
      <c r="I24" s="1"/>
      <c r="J24" s="1">
        <v>3815</v>
      </c>
      <c r="K24" s="1">
        <v>12</v>
      </c>
      <c r="L24" s="1">
        <f>J24*K24</f>
        <v>45780</v>
      </c>
      <c r="M24" s="1"/>
    </row>
    <row r="25" spans="1:13" ht="12.75" x14ac:dyDescent="0.2">
      <c r="A25" s="1"/>
      <c r="B25" s="1"/>
      <c r="C25" s="1"/>
      <c r="D25" s="1"/>
      <c r="E25" s="2" t="s">
        <v>130</v>
      </c>
      <c r="F25" s="1"/>
      <c r="G25" s="1"/>
      <c r="H25" s="6">
        <v>5</v>
      </c>
      <c r="I25" s="2" t="s">
        <v>4</v>
      </c>
      <c r="J25" s="1"/>
      <c r="K25" s="1"/>
      <c r="L25" s="1"/>
      <c r="M25" s="1"/>
    </row>
    <row r="26" spans="1:13" ht="12.75" x14ac:dyDescent="0.2">
      <c r="A26" s="40"/>
      <c r="B26" s="1"/>
      <c r="C26" s="1"/>
      <c r="D26" s="1"/>
      <c r="E26" s="2" t="s">
        <v>96</v>
      </c>
      <c r="F26" s="1"/>
      <c r="G26" s="1"/>
      <c r="H26" s="4" t="s">
        <v>100</v>
      </c>
      <c r="I26" s="1"/>
      <c r="J26" s="1"/>
      <c r="K26" s="1"/>
      <c r="L26" s="1"/>
      <c r="M26" s="1"/>
    </row>
    <row r="27" spans="1:13" ht="12.75" x14ac:dyDescent="0.2">
      <c r="A27" s="40"/>
      <c r="B27" s="1"/>
      <c r="C27" s="1" t="s">
        <v>235</v>
      </c>
      <c r="D27" s="1"/>
      <c r="E27" s="2" t="s">
        <v>95</v>
      </c>
      <c r="F27" s="1"/>
      <c r="G27" s="1"/>
      <c r="H27" s="5">
        <v>4887</v>
      </c>
      <c r="I27" s="1"/>
      <c r="J27" s="1"/>
      <c r="K27" s="1"/>
      <c r="L27" s="1"/>
      <c r="M27" s="1"/>
    </row>
    <row r="28" spans="1:13" ht="12.75" x14ac:dyDescent="0.2">
      <c r="A28" s="42"/>
      <c r="B28" s="1">
        <v>1</v>
      </c>
      <c r="C28" s="1">
        <v>810</v>
      </c>
      <c r="D28" s="1"/>
      <c r="E28" s="2" t="s">
        <v>9</v>
      </c>
      <c r="F28" s="1"/>
      <c r="G28" s="1"/>
      <c r="H28" s="5">
        <v>1884</v>
      </c>
      <c r="I28" s="1"/>
      <c r="J28" s="1"/>
      <c r="K28" s="1"/>
      <c r="L28" s="1"/>
      <c r="M28" s="1"/>
    </row>
    <row r="29" spans="1:13" ht="12.75" x14ac:dyDescent="0.2">
      <c r="A29" s="42"/>
      <c r="B29" s="1">
        <v>2</v>
      </c>
      <c r="C29" s="1">
        <v>784</v>
      </c>
      <c r="D29" s="1"/>
      <c r="E29" s="2" t="s">
        <v>10</v>
      </c>
      <c r="F29" s="1"/>
      <c r="G29" s="1"/>
      <c r="H29" s="5">
        <v>600</v>
      </c>
      <c r="I29" s="1"/>
      <c r="J29" s="1"/>
      <c r="K29" s="1"/>
      <c r="L29" s="1"/>
      <c r="M29" s="1"/>
    </row>
    <row r="30" spans="1:13" ht="12.75" x14ac:dyDescent="0.2">
      <c r="A30" s="41"/>
      <c r="B30" s="1">
        <v>3</v>
      </c>
      <c r="C30" s="1">
        <v>815</v>
      </c>
      <c r="D30" s="1"/>
      <c r="E30" s="2" t="s">
        <v>11</v>
      </c>
      <c r="F30" s="1"/>
      <c r="G30" s="1"/>
      <c r="H30" s="5">
        <v>0</v>
      </c>
      <c r="I30" s="1"/>
      <c r="J30" s="1"/>
      <c r="K30" s="1"/>
      <c r="L30" s="1"/>
      <c r="M30" s="1"/>
    </row>
    <row r="31" spans="1:13" ht="12.75" x14ac:dyDescent="0.2">
      <c r="A31" s="41"/>
      <c r="B31" s="1">
        <v>4</v>
      </c>
      <c r="C31" s="1">
        <v>955</v>
      </c>
      <c r="D31" s="1"/>
      <c r="E31" s="2" t="s">
        <v>12</v>
      </c>
      <c r="F31" s="1"/>
      <c r="G31" s="1"/>
      <c r="H31" s="5">
        <f>I31*J31</f>
        <v>10500</v>
      </c>
      <c r="I31" s="1">
        <v>2500</v>
      </c>
      <c r="J31" s="1">
        <v>4.2</v>
      </c>
      <c r="K31" s="1" t="s">
        <v>243</v>
      </c>
      <c r="M31" s="1"/>
    </row>
    <row r="32" spans="1:13" ht="12.75" x14ac:dyDescent="0.2">
      <c r="A32" s="41"/>
      <c r="B32" s="1">
        <v>5</v>
      </c>
      <c r="C32" s="1">
        <v>1320</v>
      </c>
      <c r="D32" s="1"/>
      <c r="E32" s="2" t="s">
        <v>13</v>
      </c>
      <c r="F32" s="1"/>
      <c r="G32" s="1"/>
      <c r="H32" s="5">
        <v>1200</v>
      </c>
      <c r="I32" s="1"/>
      <c r="J32" s="1"/>
      <c r="K32" s="1"/>
      <c r="L32" s="1"/>
      <c r="M32" s="1"/>
    </row>
    <row r="33" spans="1:13" ht="12.75" x14ac:dyDescent="0.2">
      <c r="A33" s="1"/>
      <c r="B33" s="1">
        <v>6</v>
      </c>
      <c r="C33" s="1">
        <v>755</v>
      </c>
      <c r="D33" s="1"/>
      <c r="E33" s="2" t="s">
        <v>113</v>
      </c>
      <c r="F33" s="1"/>
      <c r="G33" s="1"/>
      <c r="H33" s="5">
        <v>700</v>
      </c>
      <c r="I33" s="1"/>
      <c r="J33" s="1"/>
      <c r="K33" s="1"/>
      <c r="L33" s="1"/>
      <c r="M33" s="1"/>
    </row>
    <row r="34" spans="1:13" ht="12.75" x14ac:dyDescent="0.2">
      <c r="A34" s="1"/>
      <c r="B34" s="1">
        <v>7</v>
      </c>
      <c r="C34" s="1">
        <v>1015</v>
      </c>
      <c r="D34" s="1"/>
      <c r="E34" s="2" t="s">
        <v>14</v>
      </c>
      <c r="F34" s="1"/>
      <c r="G34" s="1"/>
      <c r="H34" s="6">
        <v>8</v>
      </c>
      <c r="I34" s="79" t="s">
        <v>210</v>
      </c>
      <c r="J34" s="1"/>
      <c r="K34" s="1"/>
      <c r="L34" s="1"/>
      <c r="M34" s="1"/>
    </row>
    <row r="35" spans="1:13" ht="12.75" x14ac:dyDescent="0.2">
      <c r="A35" s="1"/>
      <c r="B35" s="1" t="s">
        <v>209</v>
      </c>
      <c r="C35" s="1">
        <v>100</v>
      </c>
      <c r="D35" s="1"/>
      <c r="E35" s="2" t="s">
        <v>234</v>
      </c>
      <c r="F35" s="1"/>
      <c r="G35" s="1"/>
      <c r="H35" s="6">
        <v>15</v>
      </c>
      <c r="I35" s="2" t="s">
        <v>114</v>
      </c>
      <c r="J35" s="1">
        <v>325000</v>
      </c>
      <c r="K35" s="1"/>
      <c r="L35" s="1"/>
      <c r="M35" s="1"/>
    </row>
    <row r="36" spans="1:13" ht="12.75" x14ac:dyDescent="0.2">
      <c r="A36" s="1"/>
      <c r="B36" s="1"/>
      <c r="C36" s="1">
        <f>SUM(C28:C35)</f>
        <v>6554</v>
      </c>
      <c r="D36" s="1"/>
      <c r="E36" s="2" t="s">
        <v>15</v>
      </c>
      <c r="F36" s="1"/>
      <c r="G36" s="1"/>
      <c r="H36" s="5">
        <v>0</v>
      </c>
      <c r="I36" s="1"/>
      <c r="J36" s="1"/>
      <c r="K36" s="1"/>
      <c r="L36" s="1"/>
      <c r="M36" s="1"/>
    </row>
    <row r="37" spans="1:13" ht="12.75" x14ac:dyDescent="0.2">
      <c r="A37" s="1"/>
      <c r="B37" s="1"/>
      <c r="C37" s="1">
        <f>C36*12</f>
        <v>78648</v>
      </c>
      <c r="D37" s="1"/>
      <c r="E37" s="2" t="s">
        <v>16</v>
      </c>
      <c r="F37" s="1"/>
      <c r="G37" s="1"/>
      <c r="H37" s="5">
        <v>0</v>
      </c>
      <c r="I37" s="1"/>
      <c r="J37" s="1"/>
      <c r="K37" s="1"/>
      <c r="L37" s="1"/>
      <c r="M37" s="1"/>
    </row>
    <row r="38" spans="1:13" ht="12.75" x14ac:dyDescent="0.2">
      <c r="A38" s="1"/>
      <c r="B38" s="1"/>
      <c r="C38" s="1"/>
      <c r="D38" s="1"/>
      <c r="E38" s="2" t="s">
        <v>189</v>
      </c>
      <c r="F38" s="1"/>
      <c r="G38" s="1"/>
      <c r="H38" s="5">
        <v>0</v>
      </c>
      <c r="I38" s="1"/>
      <c r="J38" s="1"/>
      <c r="K38" s="1"/>
      <c r="L38" s="1"/>
      <c r="M38" s="1"/>
    </row>
    <row r="39" spans="1:13" ht="12.75" x14ac:dyDescent="0.2">
      <c r="A39" s="40"/>
      <c r="B39" s="40"/>
      <c r="C39" s="40"/>
      <c r="D39" s="40"/>
      <c r="E39" s="2" t="s">
        <v>17</v>
      </c>
      <c r="F39" s="1"/>
      <c r="G39" s="1"/>
      <c r="H39" s="5">
        <v>0</v>
      </c>
      <c r="I39" s="1"/>
      <c r="J39" s="1"/>
      <c r="K39" s="1"/>
      <c r="L39" s="1"/>
      <c r="M39" s="1"/>
    </row>
    <row r="40" spans="1:13" ht="12.75" x14ac:dyDescent="0.2">
      <c r="A40" s="1"/>
      <c r="B40" s="1"/>
      <c r="C40" s="1"/>
      <c r="D40" s="1"/>
      <c r="E40" s="2" t="s">
        <v>17</v>
      </c>
      <c r="F40" s="1"/>
      <c r="G40" s="1"/>
      <c r="H40" s="5">
        <v>0</v>
      </c>
      <c r="I40" s="1"/>
      <c r="J40" s="1"/>
      <c r="K40" s="1"/>
      <c r="L40" s="1"/>
      <c r="M40" s="1"/>
    </row>
    <row r="41" spans="1:13" ht="12.75" x14ac:dyDescent="0.2">
      <c r="A41" s="1"/>
      <c r="B41" s="1"/>
      <c r="C41" s="1"/>
      <c r="D41" s="1"/>
      <c r="E41" s="2" t="s">
        <v>17</v>
      </c>
      <c r="F41" s="1"/>
      <c r="G41" s="1"/>
      <c r="H41" s="5">
        <v>0</v>
      </c>
      <c r="I41" s="1"/>
      <c r="J41" s="1"/>
      <c r="K41" s="1"/>
      <c r="L41" s="1"/>
      <c r="M41" s="1"/>
    </row>
    <row r="42" spans="1:13" ht="12.75" x14ac:dyDescent="0.2">
      <c r="A42" s="1"/>
      <c r="B42" s="1"/>
      <c r="C42" s="1"/>
      <c r="D42" s="1"/>
      <c r="E42" s="2" t="s">
        <v>131</v>
      </c>
      <c r="F42" s="1"/>
      <c r="G42" s="1"/>
      <c r="H42" s="8">
        <v>2</v>
      </c>
      <c r="I42" s="2" t="s">
        <v>4</v>
      </c>
      <c r="J42" s="1" t="s">
        <v>101</v>
      </c>
      <c r="K42" s="1"/>
      <c r="L42" s="1" t="s">
        <v>179</v>
      </c>
      <c r="M42" s="1"/>
    </row>
    <row r="43" spans="1:13" ht="12.75" x14ac:dyDescent="0.2">
      <c r="A43" s="1"/>
      <c r="B43" s="1"/>
      <c r="C43" s="1"/>
      <c r="D43" s="1"/>
      <c r="E43" s="2" t="s">
        <v>132</v>
      </c>
      <c r="F43" s="1"/>
      <c r="G43" s="1"/>
      <c r="H43" s="8">
        <v>2</v>
      </c>
      <c r="I43" s="2" t="s">
        <v>4</v>
      </c>
      <c r="J43" s="1" t="s">
        <v>101</v>
      </c>
      <c r="K43" s="1"/>
      <c r="L43" s="1"/>
      <c r="M43" s="1"/>
    </row>
    <row r="44" spans="1:13" ht="12.75" x14ac:dyDescent="0.2">
      <c r="A44" s="1"/>
      <c r="B44" s="1"/>
      <c r="C44" s="1"/>
      <c r="D44" s="1"/>
      <c r="E44" s="2" t="s">
        <v>18</v>
      </c>
      <c r="F44" s="1"/>
      <c r="G44" s="1"/>
      <c r="H44" s="8">
        <v>2</v>
      </c>
      <c r="I44" s="2" t="s">
        <v>4</v>
      </c>
      <c r="J44" s="1" t="s">
        <v>101</v>
      </c>
      <c r="K44" s="1"/>
      <c r="L44" s="1"/>
      <c r="M44" s="1"/>
    </row>
    <row r="45" spans="1:13" ht="12.75" x14ac:dyDescent="0.2">
      <c r="A45" s="1"/>
      <c r="B45" s="1"/>
      <c r="C45" s="1"/>
      <c r="D45" s="1"/>
      <c r="E45" s="2" t="s">
        <v>19</v>
      </c>
      <c r="F45" s="1"/>
      <c r="G45" s="1"/>
      <c r="H45" s="8">
        <v>22</v>
      </c>
      <c r="I45" s="2" t="s">
        <v>4</v>
      </c>
      <c r="J45" s="1"/>
      <c r="K45" s="1"/>
      <c r="L45" s="1"/>
      <c r="M45" s="1"/>
    </row>
    <row r="46" spans="1:13" ht="12.75" x14ac:dyDescent="0.2">
      <c r="A46" s="1"/>
      <c r="B46" s="1"/>
      <c r="C46" s="1"/>
      <c r="D46" s="1"/>
      <c r="E46" s="2" t="s">
        <v>20</v>
      </c>
      <c r="F46" s="1"/>
      <c r="G46" s="1"/>
      <c r="H46" s="8">
        <v>20</v>
      </c>
      <c r="I46" s="2" t="s">
        <v>4</v>
      </c>
      <c r="J46" s="1" t="s">
        <v>167</v>
      </c>
      <c r="K46" s="1"/>
      <c r="L46" s="1"/>
      <c r="M46" s="1"/>
    </row>
    <row r="47" spans="1:13" ht="12.75" x14ac:dyDescent="0.2">
      <c r="A47" s="1"/>
      <c r="B47" s="1"/>
      <c r="C47" s="1"/>
      <c r="D47" s="1"/>
      <c r="E47" s="2" t="s">
        <v>156</v>
      </c>
      <c r="F47" s="1"/>
      <c r="G47" s="1"/>
      <c r="H47" s="8">
        <v>25</v>
      </c>
      <c r="I47" s="2" t="s">
        <v>4</v>
      </c>
      <c r="J47" s="1"/>
      <c r="K47" s="1"/>
      <c r="L47" s="1"/>
      <c r="M47" s="1"/>
    </row>
    <row r="48" spans="1:13" ht="12.75" x14ac:dyDescent="0.2">
      <c r="A48" s="1"/>
      <c r="B48" s="1"/>
      <c r="C48" s="1"/>
      <c r="D48" s="1"/>
      <c r="E48" s="2" t="s">
        <v>133</v>
      </c>
      <c r="F48" s="1"/>
      <c r="G48" s="1"/>
      <c r="H48" s="9"/>
      <c r="I48" s="1"/>
      <c r="J48" s="1"/>
      <c r="K48" s="1"/>
      <c r="L48" s="1"/>
      <c r="M48" s="1"/>
    </row>
    <row r="49" spans="1:13" ht="12.75" x14ac:dyDescent="0.2">
      <c r="A49" s="1"/>
      <c r="B49" s="1"/>
      <c r="C49" s="1"/>
      <c r="D49" s="1"/>
      <c r="E49" s="2" t="s">
        <v>134</v>
      </c>
      <c r="F49" s="1"/>
      <c r="G49" s="1"/>
      <c r="H49" s="8">
        <v>1</v>
      </c>
      <c r="I49" s="2" t="s">
        <v>4</v>
      </c>
      <c r="J49" s="1" t="s">
        <v>102</v>
      </c>
      <c r="K49" s="1"/>
      <c r="L49" s="1"/>
      <c r="M49" s="1"/>
    </row>
    <row r="50" spans="1:13" ht="12.75" x14ac:dyDescent="0.2">
      <c r="A50" s="1"/>
      <c r="B50" s="1"/>
      <c r="C50" s="1"/>
      <c r="D50" s="1"/>
      <c r="E50" s="2" t="s">
        <v>135</v>
      </c>
      <c r="F50" s="1"/>
      <c r="G50" s="1"/>
      <c r="H50" s="8">
        <v>6</v>
      </c>
      <c r="I50" s="2" t="s">
        <v>4</v>
      </c>
      <c r="J50" s="1" t="s">
        <v>102</v>
      </c>
      <c r="K50" s="1"/>
      <c r="L50" s="1"/>
      <c r="M50" s="1"/>
    </row>
    <row r="51" spans="1:13" ht="12.75" x14ac:dyDescent="0.2">
      <c r="A51" s="1"/>
      <c r="B51" s="1"/>
      <c r="C51" s="1"/>
      <c r="D51" s="1"/>
      <c r="E51" s="29"/>
      <c r="F51" s="1"/>
      <c r="G51" s="1"/>
      <c r="H51" s="1"/>
      <c r="I51" s="1"/>
      <c r="J51" s="1"/>
      <c r="K51" s="1"/>
      <c r="L51" s="1"/>
      <c r="M51" s="1"/>
    </row>
    <row r="52" spans="1:13" ht="12.75" x14ac:dyDescent="0.2">
      <c r="A52" s="1"/>
      <c r="B52" s="1"/>
      <c r="C52" s="1"/>
      <c r="D52" s="1"/>
      <c r="E52" s="2" t="s">
        <v>103</v>
      </c>
      <c r="F52" s="1"/>
      <c r="G52" s="1"/>
      <c r="H52" s="1"/>
      <c r="I52" s="1"/>
      <c r="J52" s="1"/>
      <c r="K52" s="1"/>
      <c r="L52" s="2" t="s">
        <v>180</v>
      </c>
      <c r="M52" s="1"/>
    </row>
    <row r="53" spans="1:13" ht="12.75" x14ac:dyDescent="0.2">
      <c r="A53" s="1"/>
      <c r="B53" s="1"/>
      <c r="C53" s="1"/>
      <c r="D53" s="1"/>
      <c r="E53" s="3"/>
      <c r="F53" s="1"/>
      <c r="G53" s="1"/>
      <c r="H53" s="1"/>
      <c r="I53" s="1"/>
      <c r="J53" s="1"/>
      <c r="K53" s="1"/>
      <c r="L53" s="1"/>
      <c r="M53" s="1"/>
    </row>
    <row r="54" spans="1:13" ht="12.75" x14ac:dyDescent="0.2">
      <c r="A54" s="2" t="s">
        <v>21</v>
      </c>
      <c r="B54" s="1"/>
      <c r="C54" s="1"/>
      <c r="D54" s="2" t="s">
        <v>136</v>
      </c>
      <c r="E54" s="3"/>
      <c r="F54" s="1"/>
      <c r="G54" s="2" t="s">
        <v>137</v>
      </c>
      <c r="H54" s="1"/>
      <c r="I54" s="1"/>
      <c r="J54" s="1"/>
      <c r="K54" s="1"/>
      <c r="L54" s="1"/>
      <c r="M54" s="1"/>
    </row>
    <row r="55" spans="1:13" ht="12.75" x14ac:dyDescent="0.2">
      <c r="A55" s="1"/>
      <c r="B55" s="1"/>
      <c r="C55" s="1"/>
      <c r="D55" s="1"/>
      <c r="E55" s="3"/>
      <c r="F55" s="1"/>
      <c r="G55" s="1"/>
      <c r="H55" s="1"/>
      <c r="I55" s="1"/>
      <c r="J55" s="1"/>
      <c r="K55" s="1"/>
      <c r="L55" s="1"/>
      <c r="M55" s="1"/>
    </row>
    <row r="56" spans="1:13" ht="12.75" x14ac:dyDescent="0.2">
      <c r="A56" s="2" t="s">
        <v>22</v>
      </c>
      <c r="B56" s="13">
        <f>H18</f>
        <v>455000</v>
      </c>
      <c r="C56" s="1"/>
      <c r="D56" s="2" t="s">
        <v>23</v>
      </c>
      <c r="E56" s="14">
        <f>H20/100</f>
        <v>0.04</v>
      </c>
      <c r="F56" s="1"/>
      <c r="G56" s="2" t="s">
        <v>24</v>
      </c>
      <c r="H56" s="17">
        <f>1-H57</f>
        <v>0.15000000000000002</v>
      </c>
      <c r="I56" s="13">
        <f>H56*B56</f>
        <v>68250.000000000015</v>
      </c>
      <c r="J56" s="1"/>
      <c r="K56" s="1"/>
      <c r="L56" s="1"/>
      <c r="M56" s="1"/>
    </row>
    <row r="57" spans="1:13" ht="12.75" x14ac:dyDescent="0.2">
      <c r="A57" s="2" t="s">
        <v>25</v>
      </c>
      <c r="B57" s="13">
        <f>H19</f>
        <v>91000</v>
      </c>
      <c r="C57" s="1"/>
      <c r="D57" s="2" t="s">
        <v>26</v>
      </c>
      <c r="E57" s="15">
        <f>H21</f>
        <v>20</v>
      </c>
      <c r="F57" s="1"/>
      <c r="G57" s="2" t="s">
        <v>27</v>
      </c>
      <c r="H57" s="17">
        <f>H22/100</f>
        <v>0.85</v>
      </c>
      <c r="I57" s="13">
        <f>(H57*B56)+(B59+B60)</f>
        <v>391300</v>
      </c>
      <c r="J57" s="1"/>
      <c r="K57" s="1"/>
      <c r="L57" s="1"/>
      <c r="M57" s="1"/>
    </row>
    <row r="58" spans="1:13" ht="12.75" x14ac:dyDescent="0.2">
      <c r="A58" s="2" t="s">
        <v>28</v>
      </c>
      <c r="B58" s="13">
        <f>B56-B57</f>
        <v>364000</v>
      </c>
      <c r="C58" s="1"/>
      <c r="D58" s="2" t="s">
        <v>29</v>
      </c>
      <c r="E58" s="16">
        <f>PMT((E56/12),(E57*12),-B58)</f>
        <v>2205.7683986498841</v>
      </c>
      <c r="F58" s="1"/>
      <c r="G58" s="2" t="s">
        <v>26</v>
      </c>
      <c r="H58" s="12">
        <f>H23</f>
        <v>27.5</v>
      </c>
      <c r="I58" s="1"/>
      <c r="J58" s="1"/>
      <c r="K58" s="1"/>
      <c r="L58" s="1"/>
      <c r="M58" s="1"/>
    </row>
    <row r="59" spans="1:13" ht="12.75" x14ac:dyDescent="0.2">
      <c r="A59" s="2" t="s">
        <v>30</v>
      </c>
      <c r="B59" s="13">
        <f>(H49/100)*B56</f>
        <v>4550</v>
      </c>
      <c r="C59" s="1"/>
      <c r="D59" s="2" t="s">
        <v>31</v>
      </c>
      <c r="E59" s="16">
        <f>E58*12</f>
        <v>26469.22078379861</v>
      </c>
      <c r="F59" s="1"/>
      <c r="G59" s="2" t="s">
        <v>32</v>
      </c>
      <c r="H59" s="13">
        <f>I57/H58</f>
        <v>14229.09090909091</v>
      </c>
      <c r="I59" s="1"/>
      <c r="J59" s="1"/>
      <c r="K59" s="1"/>
      <c r="L59" s="1"/>
      <c r="M59" s="1"/>
    </row>
    <row r="60" spans="1:13" ht="12.75" x14ac:dyDescent="0.2">
      <c r="A60" s="2" t="s">
        <v>33</v>
      </c>
      <c r="B60" s="13">
        <f>H48</f>
        <v>0</v>
      </c>
      <c r="C60" s="1"/>
      <c r="D60" s="1"/>
      <c r="E60" s="3"/>
      <c r="F60" s="1"/>
      <c r="G60" s="1"/>
      <c r="H60" s="1"/>
      <c r="I60" s="1"/>
      <c r="J60" s="1"/>
      <c r="K60" s="1"/>
      <c r="L60" s="1"/>
      <c r="M60" s="1"/>
    </row>
    <row r="61" spans="1:13" ht="12.75" x14ac:dyDescent="0.2">
      <c r="A61" s="1"/>
      <c r="B61" s="1"/>
      <c r="C61" s="1"/>
      <c r="D61" s="1"/>
      <c r="E61" s="3"/>
      <c r="F61" s="1"/>
      <c r="G61" s="1"/>
      <c r="H61" s="1"/>
      <c r="I61" s="1"/>
      <c r="J61" s="1"/>
      <c r="K61" s="1"/>
      <c r="L61" s="1"/>
      <c r="M61" s="1"/>
    </row>
    <row r="62" spans="1:13" ht="12.75" x14ac:dyDescent="0.2">
      <c r="A62" s="1"/>
      <c r="B62" s="1"/>
      <c r="C62" s="1"/>
      <c r="D62" s="1"/>
      <c r="E62" s="3"/>
      <c r="F62" s="1"/>
      <c r="G62" s="1"/>
      <c r="H62" s="1"/>
      <c r="I62" s="1"/>
      <c r="J62" s="1"/>
      <c r="K62" s="1"/>
      <c r="L62" s="1"/>
      <c r="M62" s="1"/>
    </row>
    <row r="63" spans="1:13" ht="12.75" x14ac:dyDescent="0.2">
      <c r="A63" s="2" t="s">
        <v>34</v>
      </c>
      <c r="B63" s="1"/>
      <c r="C63" s="1"/>
      <c r="D63" s="30" t="s">
        <v>116</v>
      </c>
      <c r="E63" s="31" t="s">
        <v>117</v>
      </c>
      <c r="F63" s="30" t="s">
        <v>118</v>
      </c>
      <c r="G63" s="30" t="s">
        <v>119</v>
      </c>
      <c r="H63" s="30" t="s">
        <v>120</v>
      </c>
      <c r="I63" s="30" t="s">
        <v>121</v>
      </c>
      <c r="J63" s="30" t="s">
        <v>122</v>
      </c>
      <c r="K63" s="30" t="s">
        <v>123</v>
      </c>
      <c r="L63" s="30" t="s">
        <v>124</v>
      </c>
      <c r="M63" s="30" t="s">
        <v>125</v>
      </c>
    </row>
    <row r="64" spans="1:13" ht="12.75" x14ac:dyDescent="0.2">
      <c r="A64" s="1"/>
      <c r="B64" s="1"/>
      <c r="C64" s="1"/>
      <c r="D64" s="1"/>
      <c r="E64" s="3"/>
      <c r="F64" s="1"/>
      <c r="G64" s="1"/>
      <c r="H64" s="1"/>
      <c r="I64" s="1"/>
      <c r="J64" s="1"/>
      <c r="K64" s="1"/>
      <c r="L64" s="1"/>
      <c r="M64" s="1"/>
    </row>
    <row r="65" spans="1:13" ht="12.75" x14ac:dyDescent="0.2">
      <c r="A65" s="2" t="s">
        <v>127</v>
      </c>
      <c r="B65" s="1"/>
      <c r="C65" s="18">
        <f>H42/100</f>
        <v>0.02</v>
      </c>
      <c r="D65" s="14"/>
      <c r="E65" s="14">
        <f>C65</f>
        <v>0.02</v>
      </c>
      <c r="F65" s="14">
        <f>C65</f>
        <v>0.02</v>
      </c>
      <c r="G65" s="14">
        <f>C65</f>
        <v>0.02</v>
      </c>
      <c r="H65" s="14">
        <f>C65</f>
        <v>0.02</v>
      </c>
      <c r="I65" s="14">
        <f>C65</f>
        <v>0.02</v>
      </c>
      <c r="J65" s="14">
        <f>C65</f>
        <v>0.02</v>
      </c>
      <c r="K65" s="14">
        <f>C65</f>
        <v>0.02</v>
      </c>
      <c r="L65" s="14">
        <f>C65</f>
        <v>0.02</v>
      </c>
      <c r="M65" s="14">
        <f>C65</f>
        <v>0.02</v>
      </c>
    </row>
    <row r="66" spans="1:13" ht="12.75" x14ac:dyDescent="0.2">
      <c r="A66" s="2" t="s">
        <v>128</v>
      </c>
      <c r="B66" s="1"/>
      <c r="C66" s="1"/>
      <c r="D66" s="16">
        <f>H24</f>
        <v>78648</v>
      </c>
      <c r="E66" s="16">
        <f t="shared" ref="E66:M66" si="0">(1+E65)*D66</f>
        <v>80220.960000000006</v>
      </c>
      <c r="F66" s="16">
        <f t="shared" si="0"/>
        <v>81825.37920000001</v>
      </c>
      <c r="G66" s="16">
        <f t="shared" si="0"/>
        <v>83461.886784000017</v>
      </c>
      <c r="H66" s="16">
        <f t="shared" si="0"/>
        <v>85131.124519680016</v>
      </c>
      <c r="I66" s="16">
        <f t="shared" si="0"/>
        <v>86833.747010073625</v>
      </c>
      <c r="J66" s="16">
        <f t="shared" si="0"/>
        <v>88570.421950275093</v>
      </c>
      <c r="K66" s="16">
        <f t="shared" si="0"/>
        <v>90341.8303892806</v>
      </c>
      <c r="L66" s="16">
        <f t="shared" si="0"/>
        <v>92148.666997066219</v>
      </c>
      <c r="M66" s="16">
        <f t="shared" si="0"/>
        <v>93991.640337007542</v>
      </c>
    </row>
    <row r="67" spans="1:13" ht="12.75" x14ac:dyDescent="0.2">
      <c r="A67" s="2" t="s">
        <v>129</v>
      </c>
      <c r="B67" s="1"/>
      <c r="C67" s="18">
        <f>H25/100</f>
        <v>0.05</v>
      </c>
      <c r="D67" s="16">
        <f>C67*D66</f>
        <v>3932.4</v>
      </c>
      <c r="E67" s="16">
        <f>C67*E66</f>
        <v>4011.0480000000007</v>
      </c>
      <c r="F67" s="16">
        <f>C67*F66</f>
        <v>4091.2689600000008</v>
      </c>
      <c r="G67" s="16">
        <f>C67*G66</f>
        <v>4173.0943392000008</v>
      </c>
      <c r="H67" s="16">
        <f>C67*H66</f>
        <v>4256.5562259840008</v>
      </c>
      <c r="I67" s="16">
        <f>C67*I66</f>
        <v>4341.687350503681</v>
      </c>
      <c r="J67" s="16">
        <f>C67*J66</f>
        <v>4428.5210975137552</v>
      </c>
      <c r="K67" s="16">
        <f>C67*K66</f>
        <v>4517.0915194640302</v>
      </c>
      <c r="L67" s="16">
        <f>C67*L66</f>
        <v>4607.4333498533115</v>
      </c>
      <c r="M67" s="16">
        <f>C67*M66</f>
        <v>4699.5820168503769</v>
      </c>
    </row>
    <row r="68" spans="1:13" ht="12.75" x14ac:dyDescent="0.2">
      <c r="A68" s="2" t="s">
        <v>35</v>
      </c>
      <c r="B68" s="1"/>
      <c r="C68" s="1"/>
      <c r="D68" s="16">
        <f t="shared" ref="D68:M68" si="1">D66-D67</f>
        <v>74715.600000000006</v>
      </c>
      <c r="E68" s="16">
        <f t="shared" si="1"/>
        <v>76209.912000000011</v>
      </c>
      <c r="F68" s="16">
        <f t="shared" si="1"/>
        <v>77734.110240000009</v>
      </c>
      <c r="G68" s="16">
        <f t="shared" si="1"/>
        <v>79288.792444800012</v>
      </c>
      <c r="H68" s="16">
        <f t="shared" si="1"/>
        <v>80874.568293696007</v>
      </c>
      <c r="I68" s="16">
        <f t="shared" si="1"/>
        <v>82492.059659569946</v>
      </c>
      <c r="J68" s="16">
        <f t="shared" si="1"/>
        <v>84141.900852761333</v>
      </c>
      <c r="K68" s="16">
        <f t="shared" si="1"/>
        <v>85824.738869816574</v>
      </c>
      <c r="L68" s="16">
        <f t="shared" si="1"/>
        <v>87541.23364721291</v>
      </c>
      <c r="M68" s="16">
        <f t="shared" si="1"/>
        <v>89292.058320157172</v>
      </c>
    </row>
    <row r="69" spans="1:13" ht="12.75" x14ac:dyDescent="0.2">
      <c r="A69" s="1" t="s">
        <v>138</v>
      </c>
      <c r="B69" s="1"/>
      <c r="C69" s="1"/>
      <c r="D69" s="3"/>
      <c r="E69" s="3"/>
      <c r="F69" s="3"/>
      <c r="G69" s="3"/>
      <c r="H69" s="3"/>
      <c r="I69" s="3"/>
      <c r="J69" s="3"/>
      <c r="K69" s="3"/>
      <c r="L69" s="3"/>
      <c r="M69" s="3"/>
    </row>
    <row r="70" spans="1:13" ht="12.75" x14ac:dyDescent="0.2">
      <c r="A70" s="1"/>
      <c r="B70" s="1"/>
      <c r="C70" s="1"/>
      <c r="D70" s="3"/>
      <c r="E70" s="3"/>
      <c r="F70" s="3"/>
      <c r="G70" s="3"/>
      <c r="H70" s="3"/>
      <c r="I70" s="3"/>
      <c r="J70" s="3"/>
      <c r="K70" s="3"/>
      <c r="L70" s="3"/>
      <c r="M70" s="3"/>
    </row>
    <row r="71" spans="1:13" ht="12.75" x14ac:dyDescent="0.2">
      <c r="A71" s="2" t="s">
        <v>36</v>
      </c>
      <c r="B71" s="1"/>
      <c r="C71" s="1"/>
      <c r="D71" s="31" t="s">
        <v>142</v>
      </c>
      <c r="E71" s="31" t="s">
        <v>117</v>
      </c>
      <c r="F71" s="31" t="s">
        <v>118</v>
      </c>
      <c r="G71" s="31" t="s">
        <v>119</v>
      </c>
      <c r="H71" s="31" t="s">
        <v>120</v>
      </c>
      <c r="I71" s="31" t="s">
        <v>121</v>
      </c>
      <c r="J71" s="31" t="s">
        <v>122</v>
      </c>
      <c r="K71" s="31" t="s">
        <v>123</v>
      </c>
      <c r="L71" s="31" t="s">
        <v>124</v>
      </c>
      <c r="M71" s="31" t="s">
        <v>125</v>
      </c>
    </row>
    <row r="72" spans="1:13" ht="12.75" x14ac:dyDescent="0.2">
      <c r="A72" s="1"/>
      <c r="B72" s="1"/>
      <c r="C72" s="1"/>
      <c r="D72" s="3"/>
      <c r="E72" s="3"/>
      <c r="F72" s="3"/>
      <c r="G72" s="3"/>
      <c r="H72" s="3"/>
      <c r="I72" s="3"/>
      <c r="J72" s="3"/>
      <c r="K72" s="3"/>
      <c r="L72" s="3"/>
      <c r="M72" s="3"/>
    </row>
    <row r="73" spans="1:13" ht="12.75" x14ac:dyDescent="0.2">
      <c r="A73" s="2" t="s">
        <v>126</v>
      </c>
      <c r="B73" s="1"/>
      <c r="C73" s="18">
        <f>H43/100</f>
        <v>0.02</v>
      </c>
      <c r="D73" s="14"/>
      <c r="E73" s="14">
        <f>C73</f>
        <v>0.02</v>
      </c>
      <c r="F73" s="14">
        <f>C73</f>
        <v>0.02</v>
      </c>
      <c r="G73" s="14">
        <f>C73</f>
        <v>0.02</v>
      </c>
      <c r="H73" s="14">
        <f>C73</f>
        <v>0.02</v>
      </c>
      <c r="I73" s="14">
        <f>C73</f>
        <v>0.02</v>
      </c>
      <c r="J73" s="14">
        <f>C73</f>
        <v>0.02</v>
      </c>
      <c r="K73" s="14">
        <f>C73</f>
        <v>0.02</v>
      </c>
      <c r="L73" s="14">
        <f>C73</f>
        <v>0.02</v>
      </c>
      <c r="M73" s="14">
        <f>C73</f>
        <v>0.02</v>
      </c>
    </row>
    <row r="74" spans="1:13" ht="12.75" x14ac:dyDescent="0.2">
      <c r="A74" s="2" t="s">
        <v>98</v>
      </c>
      <c r="B74" s="1"/>
      <c r="C74" s="1"/>
      <c r="D74" s="16">
        <f t="shared" ref="D74:D80" si="2">H27</f>
        <v>4887</v>
      </c>
      <c r="E74" s="16">
        <f t="shared" ref="E74:M74" si="3">(1+E73)*D74</f>
        <v>4984.74</v>
      </c>
      <c r="F74" s="16">
        <f t="shared" si="3"/>
        <v>5084.4348</v>
      </c>
      <c r="G74" s="16">
        <f t="shared" si="3"/>
        <v>5186.1234960000002</v>
      </c>
      <c r="H74" s="16">
        <f t="shared" si="3"/>
        <v>5289.8459659200007</v>
      </c>
      <c r="I74" s="16">
        <f t="shared" si="3"/>
        <v>5395.6428852384006</v>
      </c>
      <c r="J74" s="16">
        <f t="shared" si="3"/>
        <v>5503.5557429431683</v>
      </c>
      <c r="K74" s="16">
        <f t="shared" si="3"/>
        <v>5613.6268578020317</v>
      </c>
      <c r="L74" s="16">
        <f t="shared" si="3"/>
        <v>5725.8993949580727</v>
      </c>
      <c r="M74" s="16">
        <f t="shared" si="3"/>
        <v>5840.4173828572339</v>
      </c>
    </row>
    <row r="75" spans="1:13" ht="12.75" x14ac:dyDescent="0.2">
      <c r="A75" s="2" t="s">
        <v>37</v>
      </c>
      <c r="B75" s="1"/>
      <c r="C75" s="1"/>
      <c r="D75" s="16">
        <f t="shared" si="2"/>
        <v>1884</v>
      </c>
      <c r="E75" s="16">
        <f t="shared" ref="E75:M75" si="4">(1+E73)*D75</f>
        <v>1921.68</v>
      </c>
      <c r="F75" s="16">
        <f t="shared" si="4"/>
        <v>1960.1136000000001</v>
      </c>
      <c r="G75" s="16">
        <f t="shared" si="4"/>
        <v>1999.3158720000001</v>
      </c>
      <c r="H75" s="16">
        <f t="shared" si="4"/>
        <v>2039.3021894400001</v>
      </c>
      <c r="I75" s="16">
        <f t="shared" si="4"/>
        <v>2080.0882332288002</v>
      </c>
      <c r="J75" s="16">
        <f t="shared" si="4"/>
        <v>2121.6899978933761</v>
      </c>
      <c r="K75" s="16">
        <f t="shared" si="4"/>
        <v>2164.1237978512436</v>
      </c>
      <c r="L75" s="16">
        <f t="shared" si="4"/>
        <v>2207.4062738082685</v>
      </c>
      <c r="M75" s="16">
        <f t="shared" si="4"/>
        <v>2251.5543992844337</v>
      </c>
    </row>
    <row r="76" spans="1:13" ht="12.75" x14ac:dyDescent="0.2">
      <c r="A76" s="2" t="s">
        <v>38</v>
      </c>
      <c r="B76" s="1"/>
      <c r="C76" s="1"/>
      <c r="D76" s="16">
        <f t="shared" si="2"/>
        <v>600</v>
      </c>
      <c r="E76" s="16">
        <f t="shared" ref="E76:M76" si="5">(1+E73)*D76</f>
        <v>612</v>
      </c>
      <c r="F76" s="16">
        <f t="shared" si="5"/>
        <v>624.24</v>
      </c>
      <c r="G76" s="16">
        <f t="shared" si="5"/>
        <v>636.72480000000007</v>
      </c>
      <c r="H76" s="16">
        <f t="shared" si="5"/>
        <v>649.45929600000011</v>
      </c>
      <c r="I76" s="16">
        <f t="shared" si="5"/>
        <v>662.44848192000018</v>
      </c>
      <c r="J76" s="16">
        <f t="shared" si="5"/>
        <v>675.69745155840019</v>
      </c>
      <c r="K76" s="16">
        <f t="shared" si="5"/>
        <v>689.21140058956826</v>
      </c>
      <c r="L76" s="16">
        <f t="shared" si="5"/>
        <v>702.99562860135961</v>
      </c>
      <c r="M76" s="16">
        <f t="shared" si="5"/>
        <v>717.05554117338681</v>
      </c>
    </row>
    <row r="77" spans="1:13" ht="12.75" x14ac:dyDescent="0.2">
      <c r="A77" s="2" t="s">
        <v>39</v>
      </c>
      <c r="B77" s="1"/>
      <c r="C77" s="1"/>
      <c r="D77" s="16">
        <f t="shared" si="2"/>
        <v>0</v>
      </c>
      <c r="E77" s="16">
        <f t="shared" ref="E77:M77" si="6">(1+E73)*D77</f>
        <v>0</v>
      </c>
      <c r="F77" s="16">
        <f t="shared" si="6"/>
        <v>0</v>
      </c>
      <c r="G77" s="16">
        <f t="shared" si="6"/>
        <v>0</v>
      </c>
      <c r="H77" s="16">
        <f t="shared" si="6"/>
        <v>0</v>
      </c>
      <c r="I77" s="16">
        <f t="shared" si="6"/>
        <v>0</v>
      </c>
      <c r="J77" s="16">
        <f t="shared" si="6"/>
        <v>0</v>
      </c>
      <c r="K77" s="16">
        <f t="shared" si="6"/>
        <v>0</v>
      </c>
      <c r="L77" s="16">
        <f t="shared" si="6"/>
        <v>0</v>
      </c>
      <c r="M77" s="16">
        <f t="shared" si="6"/>
        <v>0</v>
      </c>
    </row>
    <row r="78" spans="1:13" ht="12.75" x14ac:dyDescent="0.2">
      <c r="A78" s="2" t="s">
        <v>40</v>
      </c>
      <c r="B78" s="1"/>
      <c r="C78" s="1"/>
      <c r="D78" s="16">
        <f t="shared" si="2"/>
        <v>10500</v>
      </c>
      <c r="E78" s="16">
        <f t="shared" ref="E78:M78" si="7">(1+E73)*D78</f>
        <v>10710</v>
      </c>
      <c r="F78" s="16">
        <f t="shared" si="7"/>
        <v>10924.2</v>
      </c>
      <c r="G78" s="16">
        <f t="shared" si="7"/>
        <v>11142.684000000001</v>
      </c>
      <c r="H78" s="16">
        <f t="shared" si="7"/>
        <v>11365.537680000001</v>
      </c>
      <c r="I78" s="16">
        <f t="shared" si="7"/>
        <v>11592.848433600002</v>
      </c>
      <c r="J78" s="16">
        <f t="shared" si="7"/>
        <v>11824.705402272002</v>
      </c>
      <c r="K78" s="16">
        <f t="shared" si="7"/>
        <v>12061.199510317443</v>
      </c>
      <c r="L78" s="16">
        <f t="shared" si="7"/>
        <v>12302.423500523792</v>
      </c>
      <c r="M78" s="16">
        <f t="shared" si="7"/>
        <v>12548.471970534267</v>
      </c>
    </row>
    <row r="79" spans="1:13" ht="12.75" x14ac:dyDescent="0.2">
      <c r="A79" s="2" t="s">
        <v>41</v>
      </c>
      <c r="B79" s="1"/>
      <c r="C79" s="1"/>
      <c r="D79" s="16">
        <f t="shared" si="2"/>
        <v>1200</v>
      </c>
      <c r="E79" s="16">
        <f t="shared" ref="E79:M79" si="8">(1+E73)*D79</f>
        <v>1224</v>
      </c>
      <c r="F79" s="16">
        <f t="shared" si="8"/>
        <v>1248.48</v>
      </c>
      <c r="G79" s="16">
        <f t="shared" si="8"/>
        <v>1273.4496000000001</v>
      </c>
      <c r="H79" s="16">
        <f t="shared" si="8"/>
        <v>1298.9185920000002</v>
      </c>
      <c r="I79" s="16">
        <f t="shared" si="8"/>
        <v>1324.8969638400004</v>
      </c>
      <c r="J79" s="16">
        <f t="shared" si="8"/>
        <v>1351.3949031168004</v>
      </c>
      <c r="K79" s="16">
        <f t="shared" si="8"/>
        <v>1378.4228011791365</v>
      </c>
      <c r="L79" s="16">
        <f t="shared" si="8"/>
        <v>1405.9912572027192</v>
      </c>
      <c r="M79" s="16">
        <f t="shared" si="8"/>
        <v>1434.1110823467736</v>
      </c>
    </row>
    <row r="80" spans="1:13" ht="12.75" x14ac:dyDescent="0.2">
      <c r="A80" s="2" t="s">
        <v>139</v>
      </c>
      <c r="B80" s="1"/>
      <c r="C80" s="1"/>
      <c r="D80" s="16">
        <f t="shared" si="2"/>
        <v>700</v>
      </c>
      <c r="E80" s="16">
        <f t="shared" ref="E80:M80" si="9">(1+E73)*D80</f>
        <v>714</v>
      </c>
      <c r="F80" s="16">
        <f t="shared" si="9"/>
        <v>728.28</v>
      </c>
      <c r="G80" s="16">
        <f t="shared" si="9"/>
        <v>742.84559999999999</v>
      </c>
      <c r="H80" s="16">
        <f t="shared" si="9"/>
        <v>757.70251199999996</v>
      </c>
      <c r="I80" s="16">
        <f t="shared" si="9"/>
        <v>772.85656224000002</v>
      </c>
      <c r="J80" s="16">
        <f t="shared" si="9"/>
        <v>788.31369348480007</v>
      </c>
      <c r="K80" s="16">
        <f t="shared" si="9"/>
        <v>804.07996735449603</v>
      </c>
      <c r="L80" s="16">
        <f t="shared" si="9"/>
        <v>820.16156670158603</v>
      </c>
      <c r="M80" s="16">
        <f t="shared" si="9"/>
        <v>836.56479803561774</v>
      </c>
    </row>
    <row r="81" spans="1:13" ht="12.75" x14ac:dyDescent="0.2">
      <c r="A81" s="2" t="s">
        <v>42</v>
      </c>
      <c r="B81" s="1"/>
      <c r="C81" s="18">
        <f>H34/100</f>
        <v>0.08</v>
      </c>
      <c r="D81" s="16">
        <f>C81*D68</f>
        <v>5977.2480000000005</v>
      </c>
      <c r="E81" s="16">
        <f>C81*E68</f>
        <v>6096.7929600000007</v>
      </c>
      <c r="F81" s="16">
        <f>C81*F68</f>
        <v>6218.7288192000005</v>
      </c>
      <c r="G81" s="16">
        <f>C81*G68</f>
        <v>6343.1033955840012</v>
      </c>
      <c r="H81" s="16">
        <f>C81*H68</f>
        <v>6469.9654634956805</v>
      </c>
      <c r="I81" s="16">
        <f>C81*I68</f>
        <v>6599.3647727655962</v>
      </c>
      <c r="J81" s="16">
        <f>C81*J68</f>
        <v>6731.3520682209064</v>
      </c>
      <c r="K81" s="16">
        <f>C81*K68</f>
        <v>6865.9791095853261</v>
      </c>
      <c r="L81" s="16">
        <f>C81*L68</f>
        <v>7003.2986917770331</v>
      </c>
      <c r="M81" s="16">
        <f>C81*M68</f>
        <v>7143.3646656125738</v>
      </c>
    </row>
    <row r="82" spans="1:13" ht="12.75" x14ac:dyDescent="0.2">
      <c r="A82" s="2" t="s">
        <v>43</v>
      </c>
      <c r="B82" s="1"/>
      <c r="C82" s="18">
        <f>H35/100</f>
        <v>0.15</v>
      </c>
      <c r="D82" s="16">
        <f>C82*D68</f>
        <v>11207.34</v>
      </c>
      <c r="E82" s="16">
        <f>C82*E68</f>
        <v>11431.486800000001</v>
      </c>
      <c r="F82" s="16">
        <f>C82*F68</f>
        <v>11660.116536000001</v>
      </c>
      <c r="G82" s="16">
        <f>C82*G68</f>
        <v>11893.318866720001</v>
      </c>
      <c r="H82" s="16">
        <f>C82*H68</f>
        <v>12131.185244054401</v>
      </c>
      <c r="I82" s="16">
        <f>C82*I68</f>
        <v>12373.808948935492</v>
      </c>
      <c r="J82" s="16">
        <f>C82*J68</f>
        <v>12621.2851279142</v>
      </c>
      <c r="K82" s="16">
        <f>C82*K68</f>
        <v>12873.710830472486</v>
      </c>
      <c r="L82" s="16">
        <f>C82*L68</f>
        <v>13131.185047081935</v>
      </c>
      <c r="M82" s="16">
        <f>C82*M68</f>
        <v>13393.808748023575</v>
      </c>
    </row>
    <row r="83" spans="1:13" ht="12.75" x14ac:dyDescent="0.2">
      <c r="A83" s="2" t="s">
        <v>44</v>
      </c>
      <c r="B83" s="1"/>
      <c r="C83" s="1"/>
      <c r="D83" s="16">
        <f>H36</f>
        <v>0</v>
      </c>
      <c r="E83" s="16">
        <f t="shared" ref="E83:M83" si="10">(1+E73)*D83</f>
        <v>0</v>
      </c>
      <c r="F83" s="16">
        <f t="shared" si="10"/>
        <v>0</v>
      </c>
      <c r="G83" s="16">
        <f t="shared" si="10"/>
        <v>0</v>
      </c>
      <c r="H83" s="16">
        <f t="shared" si="10"/>
        <v>0</v>
      </c>
      <c r="I83" s="16">
        <f t="shared" si="10"/>
        <v>0</v>
      </c>
      <c r="J83" s="16">
        <f t="shared" si="10"/>
        <v>0</v>
      </c>
      <c r="K83" s="16">
        <f t="shared" si="10"/>
        <v>0</v>
      </c>
      <c r="L83" s="16">
        <f t="shared" si="10"/>
        <v>0</v>
      </c>
      <c r="M83" s="16">
        <f t="shared" si="10"/>
        <v>0</v>
      </c>
    </row>
    <row r="84" spans="1:13" ht="12.75" x14ac:dyDescent="0.2">
      <c r="A84" s="2" t="s">
        <v>45</v>
      </c>
      <c r="B84" s="1"/>
      <c r="C84" s="1"/>
      <c r="D84" s="16">
        <f>H37</f>
        <v>0</v>
      </c>
      <c r="E84" s="16">
        <f t="shared" ref="E84:M84" si="11">(1+E73)*D84</f>
        <v>0</v>
      </c>
      <c r="F84" s="16">
        <f t="shared" si="11"/>
        <v>0</v>
      </c>
      <c r="G84" s="16">
        <f t="shared" si="11"/>
        <v>0</v>
      </c>
      <c r="H84" s="16">
        <f t="shared" si="11"/>
        <v>0</v>
      </c>
      <c r="I84" s="16">
        <f t="shared" si="11"/>
        <v>0</v>
      </c>
      <c r="J84" s="16">
        <f t="shared" si="11"/>
        <v>0</v>
      </c>
      <c r="K84" s="16">
        <f t="shared" si="11"/>
        <v>0</v>
      </c>
      <c r="L84" s="16">
        <f t="shared" si="11"/>
        <v>0</v>
      </c>
      <c r="M84" s="16">
        <f t="shared" si="11"/>
        <v>0</v>
      </c>
    </row>
    <row r="85" spans="1:13" ht="12.75" x14ac:dyDescent="0.2">
      <c r="A85" s="2" t="s">
        <v>46</v>
      </c>
      <c r="B85" s="1"/>
      <c r="C85" s="1"/>
      <c r="D85" s="16">
        <f>H38</f>
        <v>0</v>
      </c>
      <c r="E85" s="16">
        <f t="shared" ref="E85:M85" si="12">(1+E73)*D85</f>
        <v>0</v>
      </c>
      <c r="F85" s="16">
        <f t="shared" si="12"/>
        <v>0</v>
      </c>
      <c r="G85" s="16">
        <f t="shared" si="12"/>
        <v>0</v>
      </c>
      <c r="H85" s="16">
        <f t="shared" si="12"/>
        <v>0</v>
      </c>
      <c r="I85" s="16">
        <f t="shared" si="12"/>
        <v>0</v>
      </c>
      <c r="J85" s="16">
        <f t="shared" si="12"/>
        <v>0</v>
      </c>
      <c r="K85" s="16">
        <f t="shared" si="12"/>
        <v>0</v>
      </c>
      <c r="L85" s="16">
        <f t="shared" si="12"/>
        <v>0</v>
      </c>
      <c r="M85" s="16">
        <f t="shared" si="12"/>
        <v>0</v>
      </c>
    </row>
    <row r="86" spans="1:13" ht="12.75" x14ac:dyDescent="0.2">
      <c r="A86" s="2" t="s">
        <v>46</v>
      </c>
      <c r="B86" s="1"/>
      <c r="C86" s="1"/>
      <c r="D86" s="16">
        <f>H40</f>
        <v>0</v>
      </c>
      <c r="E86" s="16">
        <f t="shared" ref="E86:M86" si="13">(1+E73)*D86</f>
        <v>0</v>
      </c>
      <c r="F86" s="16">
        <f t="shared" si="13"/>
        <v>0</v>
      </c>
      <c r="G86" s="16">
        <f t="shared" si="13"/>
        <v>0</v>
      </c>
      <c r="H86" s="16">
        <f t="shared" si="13"/>
        <v>0</v>
      </c>
      <c r="I86" s="16">
        <f t="shared" si="13"/>
        <v>0</v>
      </c>
      <c r="J86" s="16">
        <f t="shared" si="13"/>
        <v>0</v>
      </c>
      <c r="K86" s="16">
        <f t="shared" si="13"/>
        <v>0</v>
      </c>
      <c r="L86" s="16">
        <f t="shared" si="13"/>
        <v>0</v>
      </c>
      <c r="M86" s="16">
        <f t="shared" si="13"/>
        <v>0</v>
      </c>
    </row>
    <row r="87" spans="1:13" ht="12.75" x14ac:dyDescent="0.2">
      <c r="A87" s="2" t="s">
        <v>46</v>
      </c>
      <c r="B87" s="1"/>
      <c r="C87" s="1"/>
      <c r="D87" s="16">
        <f>H41</f>
        <v>0</v>
      </c>
      <c r="E87" s="16">
        <f t="shared" ref="E87:M87" si="14">(1+E73)*D87</f>
        <v>0</v>
      </c>
      <c r="F87" s="16">
        <f t="shared" si="14"/>
        <v>0</v>
      </c>
      <c r="G87" s="16">
        <f t="shared" si="14"/>
        <v>0</v>
      </c>
      <c r="H87" s="16">
        <f t="shared" si="14"/>
        <v>0</v>
      </c>
      <c r="I87" s="16">
        <f t="shared" si="14"/>
        <v>0</v>
      </c>
      <c r="J87" s="16">
        <f t="shared" si="14"/>
        <v>0</v>
      </c>
      <c r="K87" s="16">
        <f t="shared" si="14"/>
        <v>0</v>
      </c>
      <c r="L87" s="16">
        <f t="shared" si="14"/>
        <v>0</v>
      </c>
      <c r="M87" s="16">
        <f t="shared" si="14"/>
        <v>0</v>
      </c>
    </row>
    <row r="88" spans="1:13" ht="12.75" x14ac:dyDescent="0.2">
      <c r="A88" s="2" t="s">
        <v>47</v>
      </c>
      <c r="B88" s="1"/>
      <c r="C88" s="1"/>
      <c r="D88" s="16">
        <f t="shared" ref="D88:M88" si="15">SUM(D74:D87)</f>
        <v>36955.588000000003</v>
      </c>
      <c r="E88" s="16">
        <f t="shared" si="15"/>
        <v>37694.699759999996</v>
      </c>
      <c r="F88" s="16">
        <f t="shared" si="15"/>
        <v>38448.593755200003</v>
      </c>
      <c r="G88" s="16">
        <f t="shared" si="15"/>
        <v>39217.565630304001</v>
      </c>
      <c r="H88" s="16">
        <f t="shared" si="15"/>
        <v>40001.916942910088</v>
      </c>
      <c r="I88" s="16">
        <f t="shared" si="15"/>
        <v>40801.955281768292</v>
      </c>
      <c r="J88" s="16">
        <f t="shared" si="15"/>
        <v>41617.994387403654</v>
      </c>
      <c r="K88" s="16">
        <f t="shared" si="15"/>
        <v>42450.354275151731</v>
      </c>
      <c r="L88" s="16">
        <f t="shared" si="15"/>
        <v>43299.361360654766</v>
      </c>
      <c r="M88" s="16">
        <f t="shared" si="15"/>
        <v>44165.348587867869</v>
      </c>
    </row>
    <row r="89" spans="1:13" ht="12.75" x14ac:dyDescent="0.2">
      <c r="A89" s="2" t="s">
        <v>140</v>
      </c>
      <c r="B89" s="1"/>
      <c r="C89" s="1"/>
      <c r="D89" s="14">
        <f t="shared" ref="D89:M89" si="16">D88/D68</f>
        <v>0.49461676008758548</v>
      </c>
      <c r="E89" s="14">
        <f t="shared" si="16"/>
        <v>0.49461676008758532</v>
      </c>
      <c r="F89" s="14">
        <f t="shared" si="16"/>
        <v>0.49461676008758543</v>
      </c>
      <c r="G89" s="14">
        <f t="shared" si="16"/>
        <v>0.49461676008758537</v>
      </c>
      <c r="H89" s="14">
        <f t="shared" si="16"/>
        <v>0.49461676008758548</v>
      </c>
      <c r="I89" s="14">
        <f t="shared" si="16"/>
        <v>0.49461676008758543</v>
      </c>
      <c r="J89" s="14">
        <f t="shared" si="16"/>
        <v>0.49461676008758548</v>
      </c>
      <c r="K89" s="14">
        <f t="shared" si="16"/>
        <v>0.49461676008758543</v>
      </c>
      <c r="L89" s="14">
        <f t="shared" si="16"/>
        <v>0.49461676008758537</v>
      </c>
      <c r="M89" s="14">
        <f t="shared" si="16"/>
        <v>0.49461676008758548</v>
      </c>
    </row>
    <row r="90" spans="1:13" ht="12.75" x14ac:dyDescent="0.2">
      <c r="A90" s="1"/>
      <c r="B90" s="1"/>
      <c r="C90" s="1"/>
      <c r="D90" s="3"/>
      <c r="E90" s="3"/>
      <c r="F90" s="3"/>
      <c r="G90" s="3"/>
      <c r="H90" s="3"/>
      <c r="I90" s="3"/>
      <c r="J90" s="3"/>
      <c r="K90" s="3"/>
      <c r="L90" s="3"/>
      <c r="M90" s="3"/>
    </row>
    <row r="91" spans="1:13" ht="12.75" x14ac:dyDescent="0.2">
      <c r="A91" s="1"/>
      <c r="B91" s="1"/>
      <c r="C91" s="1"/>
      <c r="D91" s="3"/>
      <c r="E91" s="3"/>
      <c r="F91" s="3"/>
      <c r="G91" s="3"/>
      <c r="H91" s="3"/>
      <c r="I91" s="3"/>
      <c r="J91" s="3"/>
      <c r="K91" s="3"/>
      <c r="L91" s="3"/>
      <c r="M91" s="3"/>
    </row>
    <row r="92" spans="1:13" ht="12.75" x14ac:dyDescent="0.2">
      <c r="A92" s="2" t="s">
        <v>48</v>
      </c>
      <c r="B92" s="1"/>
      <c r="C92" s="1"/>
      <c r="D92" s="16">
        <f t="shared" ref="D92:M92" si="17">D68-D88</f>
        <v>37760.012000000002</v>
      </c>
      <c r="E92" s="16">
        <f t="shared" si="17"/>
        <v>38515.212240000015</v>
      </c>
      <c r="F92" s="16">
        <f t="shared" si="17"/>
        <v>39285.516484800006</v>
      </c>
      <c r="G92" s="16">
        <f t="shared" si="17"/>
        <v>40071.226814496011</v>
      </c>
      <c r="H92" s="16">
        <f t="shared" si="17"/>
        <v>40872.65135078592</v>
      </c>
      <c r="I92" s="16">
        <f t="shared" si="17"/>
        <v>41690.104377801654</v>
      </c>
      <c r="J92" s="16">
        <f t="shared" si="17"/>
        <v>42523.906465357679</v>
      </c>
      <c r="K92" s="16">
        <f t="shared" si="17"/>
        <v>43374.384594664843</v>
      </c>
      <c r="L92" s="16">
        <f t="shared" si="17"/>
        <v>44241.872286558144</v>
      </c>
      <c r="M92" s="16">
        <f t="shared" si="17"/>
        <v>45126.709732289302</v>
      </c>
    </row>
    <row r="93" spans="1:13" ht="12.75" x14ac:dyDescent="0.2">
      <c r="A93" s="1" t="s">
        <v>141</v>
      </c>
      <c r="B93" s="1"/>
      <c r="C93" s="1"/>
      <c r="D93" s="3"/>
      <c r="E93" s="3"/>
      <c r="F93" s="3"/>
      <c r="G93" s="3"/>
      <c r="H93" s="3"/>
      <c r="I93" s="3"/>
      <c r="J93" s="3"/>
      <c r="K93" s="3"/>
      <c r="L93" s="3"/>
      <c r="M93" s="3"/>
    </row>
    <row r="94" spans="1:13" ht="12.75" x14ac:dyDescent="0.2">
      <c r="A94" s="1"/>
      <c r="B94" s="1"/>
      <c r="C94" s="1"/>
      <c r="D94" s="3"/>
      <c r="E94" s="3"/>
      <c r="F94" s="3"/>
      <c r="G94" s="3"/>
      <c r="H94" s="3"/>
      <c r="I94" s="3"/>
      <c r="J94" s="3"/>
      <c r="K94" s="3"/>
      <c r="L94" s="3"/>
      <c r="M94" s="3"/>
    </row>
    <row r="95" spans="1:13" ht="12.75" x14ac:dyDescent="0.2">
      <c r="A95" s="1"/>
      <c r="B95" s="1"/>
      <c r="C95" s="1"/>
      <c r="D95" s="3"/>
      <c r="E95" s="3"/>
      <c r="F95" s="3"/>
      <c r="G95" s="3"/>
      <c r="H95" s="3"/>
      <c r="I95" s="3"/>
      <c r="J95" s="3"/>
      <c r="K95" s="3"/>
      <c r="L95" s="3"/>
      <c r="M95" s="3"/>
    </row>
    <row r="96" spans="1:13" ht="12.75" x14ac:dyDescent="0.2">
      <c r="A96" s="2" t="s">
        <v>49</v>
      </c>
      <c r="B96" s="1"/>
      <c r="C96" s="1"/>
      <c r="D96" s="31" t="s">
        <v>142</v>
      </c>
      <c r="E96" s="31" t="s">
        <v>117</v>
      </c>
      <c r="F96" s="31" t="s">
        <v>118</v>
      </c>
      <c r="G96" s="31" t="s">
        <v>119</v>
      </c>
      <c r="H96" s="31" t="s">
        <v>120</v>
      </c>
      <c r="I96" s="31" t="s">
        <v>121</v>
      </c>
      <c r="J96" s="31" t="s">
        <v>122</v>
      </c>
      <c r="K96" s="31" t="s">
        <v>123</v>
      </c>
      <c r="L96" s="31" t="s">
        <v>124</v>
      </c>
      <c r="M96" s="31" t="s">
        <v>125</v>
      </c>
    </row>
    <row r="97" spans="1:13" ht="12.75" x14ac:dyDescent="0.2">
      <c r="A97" s="1"/>
      <c r="B97" s="1"/>
      <c r="C97" s="1"/>
      <c r="D97" s="3"/>
      <c r="E97" s="3"/>
      <c r="F97" s="3"/>
      <c r="G97" s="3"/>
      <c r="H97" s="3"/>
      <c r="I97" s="3"/>
      <c r="J97" s="3"/>
      <c r="K97" s="3"/>
      <c r="L97" s="3"/>
      <c r="M97" s="3"/>
    </row>
    <row r="98" spans="1:13" ht="12.75" x14ac:dyDescent="0.2">
      <c r="A98" s="2" t="s">
        <v>50</v>
      </c>
      <c r="B98" s="1"/>
      <c r="C98" s="1"/>
      <c r="D98" s="16">
        <f t="shared" ref="D98:M98" si="18">D92</f>
        <v>37760.012000000002</v>
      </c>
      <c r="E98" s="16">
        <f t="shared" si="18"/>
        <v>38515.212240000015</v>
      </c>
      <c r="F98" s="16">
        <f t="shared" si="18"/>
        <v>39285.516484800006</v>
      </c>
      <c r="G98" s="16">
        <f t="shared" si="18"/>
        <v>40071.226814496011</v>
      </c>
      <c r="H98" s="16">
        <f t="shared" si="18"/>
        <v>40872.65135078592</v>
      </c>
      <c r="I98" s="16">
        <f t="shared" si="18"/>
        <v>41690.104377801654</v>
      </c>
      <c r="J98" s="16">
        <f t="shared" si="18"/>
        <v>42523.906465357679</v>
      </c>
      <c r="K98" s="16">
        <f t="shared" si="18"/>
        <v>43374.384594664843</v>
      </c>
      <c r="L98" s="16">
        <f t="shared" si="18"/>
        <v>44241.872286558144</v>
      </c>
      <c r="M98" s="16">
        <f t="shared" si="18"/>
        <v>45126.709732289302</v>
      </c>
    </row>
    <row r="99" spans="1:13" ht="12.75" x14ac:dyDescent="0.2">
      <c r="A99" s="2" t="s">
        <v>51</v>
      </c>
      <c r="B99" s="1"/>
      <c r="C99" s="1"/>
      <c r="D99" s="16">
        <f>E59</f>
        <v>26469.22078379861</v>
      </c>
      <c r="E99" s="16">
        <f>E59</f>
        <v>26469.22078379861</v>
      </c>
      <c r="F99" s="16">
        <f>E59</f>
        <v>26469.22078379861</v>
      </c>
      <c r="G99" s="16">
        <f>E59</f>
        <v>26469.22078379861</v>
      </c>
      <c r="H99" s="16">
        <f>E59</f>
        <v>26469.22078379861</v>
      </c>
      <c r="I99" s="16">
        <f>E59</f>
        <v>26469.22078379861</v>
      </c>
      <c r="J99" s="16">
        <f>E59</f>
        <v>26469.22078379861</v>
      </c>
      <c r="K99" s="16">
        <f>E59</f>
        <v>26469.22078379861</v>
      </c>
      <c r="L99" s="16">
        <f>E59</f>
        <v>26469.22078379861</v>
      </c>
      <c r="M99" s="16">
        <f>E59</f>
        <v>26469.22078379861</v>
      </c>
    </row>
    <row r="100" spans="1:13" ht="12.75" x14ac:dyDescent="0.2">
      <c r="A100" s="2" t="s">
        <v>49</v>
      </c>
      <c r="B100" s="1"/>
      <c r="C100" s="1"/>
      <c r="D100" s="16">
        <f t="shared" ref="D100:M100" si="19">D98-D99</f>
        <v>11290.791216201393</v>
      </c>
      <c r="E100" s="16">
        <f t="shared" si="19"/>
        <v>12045.991456201406</v>
      </c>
      <c r="F100" s="16">
        <f t="shared" si="19"/>
        <v>12816.295701001396</v>
      </c>
      <c r="G100" s="16">
        <f t="shared" si="19"/>
        <v>13602.006030697401</v>
      </c>
      <c r="H100" s="16">
        <f t="shared" si="19"/>
        <v>14403.43056698731</v>
      </c>
      <c r="I100" s="16">
        <f t="shared" si="19"/>
        <v>15220.883594003044</v>
      </c>
      <c r="J100" s="16">
        <f t="shared" si="19"/>
        <v>16054.685681559069</v>
      </c>
      <c r="K100" s="16">
        <f t="shared" si="19"/>
        <v>16905.163810866234</v>
      </c>
      <c r="L100" s="16">
        <f t="shared" si="19"/>
        <v>17772.651502759534</v>
      </c>
      <c r="M100" s="16">
        <f t="shared" si="19"/>
        <v>18657.488948490693</v>
      </c>
    </row>
    <row r="101" spans="1:13" ht="12.75" x14ac:dyDescent="0.2">
      <c r="A101" s="1"/>
      <c r="B101" s="1"/>
      <c r="C101" s="1"/>
      <c r="D101" s="3">
        <f>(D100/13)/12</f>
        <v>72.376866770521744</v>
      </c>
      <c r="E101" s="3"/>
      <c r="F101" s="3"/>
      <c r="G101" s="3"/>
      <c r="H101" s="3"/>
      <c r="I101" s="3"/>
      <c r="J101" s="3"/>
      <c r="K101" s="3"/>
      <c r="L101" s="3"/>
      <c r="M101" s="3"/>
    </row>
    <row r="102" spans="1:13" ht="12.75" x14ac:dyDescent="0.2">
      <c r="A102" s="1"/>
      <c r="B102" s="1"/>
      <c r="C102" s="1"/>
      <c r="D102" s="3"/>
      <c r="E102" s="3"/>
      <c r="F102" s="3"/>
      <c r="G102" s="3"/>
      <c r="H102" s="3"/>
      <c r="I102" s="3"/>
      <c r="J102" s="3"/>
      <c r="K102" s="3"/>
      <c r="L102" s="3"/>
      <c r="M102" s="3"/>
    </row>
    <row r="103" spans="1:13" ht="12.75" x14ac:dyDescent="0.2">
      <c r="A103" s="2" t="s">
        <v>52</v>
      </c>
      <c r="B103" s="1"/>
      <c r="C103" s="1"/>
      <c r="D103" s="31" t="s">
        <v>142</v>
      </c>
      <c r="E103" s="31" t="s">
        <v>117</v>
      </c>
      <c r="F103" s="31" t="s">
        <v>118</v>
      </c>
      <c r="G103" s="31" t="s">
        <v>119</v>
      </c>
      <c r="H103" s="31" t="s">
        <v>120</v>
      </c>
      <c r="I103" s="31" t="s">
        <v>121</v>
      </c>
      <c r="J103" s="31" t="s">
        <v>122</v>
      </c>
      <c r="K103" s="31" t="s">
        <v>123</v>
      </c>
      <c r="L103" s="31" t="s">
        <v>124</v>
      </c>
      <c r="M103" s="31" t="s">
        <v>125</v>
      </c>
    </row>
    <row r="104" spans="1:13" ht="12.75" x14ac:dyDescent="0.2">
      <c r="A104" s="1"/>
      <c r="B104" s="1"/>
      <c r="C104" s="1"/>
      <c r="D104" s="3"/>
      <c r="E104" s="3"/>
      <c r="F104" s="3"/>
      <c r="G104" s="3"/>
      <c r="H104" s="3"/>
      <c r="I104" s="3"/>
      <c r="J104" s="3"/>
      <c r="K104" s="3"/>
      <c r="L104" s="3"/>
      <c r="M104" s="3"/>
    </row>
    <row r="105" spans="1:13" ht="12.75" x14ac:dyDescent="0.2">
      <c r="A105" s="2" t="s">
        <v>50</v>
      </c>
      <c r="B105" s="1"/>
      <c r="C105" s="1"/>
      <c r="D105" s="16">
        <f t="shared" ref="D105:M105" si="20">D92</f>
        <v>37760.012000000002</v>
      </c>
      <c r="E105" s="16">
        <f t="shared" si="20"/>
        <v>38515.212240000015</v>
      </c>
      <c r="F105" s="16">
        <f t="shared" si="20"/>
        <v>39285.516484800006</v>
      </c>
      <c r="G105" s="16">
        <f t="shared" si="20"/>
        <v>40071.226814496011</v>
      </c>
      <c r="H105" s="16">
        <f t="shared" si="20"/>
        <v>40872.65135078592</v>
      </c>
      <c r="I105" s="16">
        <f t="shared" si="20"/>
        <v>41690.104377801654</v>
      </c>
      <c r="J105" s="16">
        <f t="shared" si="20"/>
        <v>42523.906465357679</v>
      </c>
      <c r="K105" s="16">
        <f t="shared" si="20"/>
        <v>43374.384594664843</v>
      </c>
      <c r="L105" s="16">
        <f t="shared" si="20"/>
        <v>44241.872286558144</v>
      </c>
      <c r="M105" s="16">
        <f t="shared" si="20"/>
        <v>45126.709732289302</v>
      </c>
    </row>
    <row r="106" spans="1:13" ht="12.75" x14ac:dyDescent="0.2">
      <c r="A106" s="2" t="s">
        <v>53</v>
      </c>
      <c r="B106" s="1"/>
      <c r="C106" s="1"/>
      <c r="D106" s="16">
        <f t="shared" ref="D106:M106" si="21">D99-D121</f>
        <v>14339.220041188706</v>
      </c>
      <c r="E106" s="16">
        <f t="shared" si="21"/>
        <v>13845.025095316643</v>
      </c>
      <c r="F106" s="16">
        <f t="shared" si="21"/>
        <v>13330.695884846504</v>
      </c>
      <c r="G106" s="16">
        <f t="shared" si="21"/>
        <v>12795.41210877302</v>
      </c>
      <c r="H106" s="16">
        <f t="shared" si="21"/>
        <v>12238.320045762524</v>
      </c>
      <c r="I106" s="16">
        <f t="shared" si="21"/>
        <v>11658.531192556551</v>
      </c>
      <c r="J106" s="16">
        <f t="shared" si="21"/>
        <v>11055.120846903188</v>
      </c>
      <c r="K106" s="16">
        <f t="shared" si="21"/>
        <v>10427.126632754316</v>
      </c>
      <c r="L106" s="16">
        <f t="shared" si="21"/>
        <v>9773.5469653762157</v>
      </c>
      <c r="M106" s="16">
        <f t="shared" si="21"/>
        <v>9093.339453928118</v>
      </c>
    </row>
    <row r="107" spans="1:13" ht="12.75" x14ac:dyDescent="0.2">
      <c r="A107" s="2" t="s">
        <v>54</v>
      </c>
      <c r="B107" s="1"/>
      <c r="C107" s="1"/>
      <c r="D107" s="16">
        <f>H59</f>
        <v>14229.09090909091</v>
      </c>
      <c r="E107" s="16">
        <f t="shared" ref="E107:M107" si="22">D107</f>
        <v>14229.09090909091</v>
      </c>
      <c r="F107" s="16">
        <f t="shared" si="22"/>
        <v>14229.09090909091</v>
      </c>
      <c r="G107" s="16">
        <f t="shared" si="22"/>
        <v>14229.09090909091</v>
      </c>
      <c r="H107" s="16">
        <f t="shared" si="22"/>
        <v>14229.09090909091</v>
      </c>
      <c r="I107" s="16">
        <f t="shared" si="22"/>
        <v>14229.09090909091</v>
      </c>
      <c r="J107" s="16">
        <f t="shared" si="22"/>
        <v>14229.09090909091</v>
      </c>
      <c r="K107" s="16">
        <f t="shared" si="22"/>
        <v>14229.09090909091</v>
      </c>
      <c r="L107" s="16">
        <f t="shared" si="22"/>
        <v>14229.09090909091</v>
      </c>
      <c r="M107" s="16">
        <f t="shared" si="22"/>
        <v>14229.09090909091</v>
      </c>
    </row>
    <row r="108" spans="1:13" ht="12.75" x14ac:dyDescent="0.2">
      <c r="A108" s="2" t="s">
        <v>55</v>
      </c>
      <c r="B108" s="1"/>
      <c r="C108" s="1"/>
      <c r="D108" s="16">
        <f t="shared" ref="D108:M108" si="23">D105-D106-D107</f>
        <v>9191.7010497203864</v>
      </c>
      <c r="E108" s="16">
        <f t="shared" si="23"/>
        <v>10441.096235592462</v>
      </c>
      <c r="F108" s="16">
        <f t="shared" si="23"/>
        <v>11725.729690862592</v>
      </c>
      <c r="G108" s="16">
        <f t="shared" si="23"/>
        <v>13046.723796632081</v>
      </c>
      <c r="H108" s="16">
        <f t="shared" si="23"/>
        <v>14405.240395932486</v>
      </c>
      <c r="I108" s="16">
        <f t="shared" si="23"/>
        <v>15802.482276154193</v>
      </c>
      <c r="J108" s="16">
        <f t="shared" si="23"/>
        <v>17239.694709363583</v>
      </c>
      <c r="K108" s="16">
        <f t="shared" si="23"/>
        <v>18718.167052819612</v>
      </c>
      <c r="L108" s="16">
        <f t="shared" si="23"/>
        <v>20239.234412091013</v>
      </c>
      <c r="M108" s="16">
        <f t="shared" si="23"/>
        <v>21804.279369270269</v>
      </c>
    </row>
    <row r="109" spans="1:13" ht="12.75" x14ac:dyDescent="0.2">
      <c r="A109" s="2" t="s">
        <v>56</v>
      </c>
      <c r="B109" s="1"/>
      <c r="C109" s="18">
        <f>H45/100</f>
        <v>0.22</v>
      </c>
      <c r="D109" s="14">
        <f>C109</f>
        <v>0.22</v>
      </c>
      <c r="E109" s="14">
        <f>C109</f>
        <v>0.22</v>
      </c>
      <c r="F109" s="14">
        <f>C109</f>
        <v>0.22</v>
      </c>
      <c r="G109" s="14">
        <f>C109</f>
        <v>0.22</v>
      </c>
      <c r="H109" s="14">
        <f>C109</f>
        <v>0.22</v>
      </c>
      <c r="I109" s="14">
        <f>C109</f>
        <v>0.22</v>
      </c>
      <c r="J109" s="14">
        <f>C109</f>
        <v>0.22</v>
      </c>
      <c r="K109" s="14">
        <f>C109</f>
        <v>0.22</v>
      </c>
      <c r="L109" s="14">
        <f>C109</f>
        <v>0.22</v>
      </c>
      <c r="M109" s="14">
        <f>C109</f>
        <v>0.22</v>
      </c>
    </row>
    <row r="110" spans="1:13" ht="12.75" x14ac:dyDescent="0.2">
      <c r="A110" s="2" t="s">
        <v>52</v>
      </c>
      <c r="B110" s="1"/>
      <c r="C110" s="1"/>
      <c r="D110" s="16">
        <f t="shared" ref="D110:M110" si="24">D108*D109*-1</f>
        <v>-2022.1742309384849</v>
      </c>
      <c r="E110" s="16">
        <f t="shared" si="24"/>
        <v>-2297.0411718303417</v>
      </c>
      <c r="F110" s="16">
        <f t="shared" si="24"/>
        <v>-2579.6605319897703</v>
      </c>
      <c r="G110" s="16">
        <f t="shared" si="24"/>
        <v>-2870.2792352590577</v>
      </c>
      <c r="H110" s="16">
        <f t="shared" si="24"/>
        <v>-3169.1528871051469</v>
      </c>
      <c r="I110" s="16">
        <f t="shared" si="24"/>
        <v>-3476.5461007539225</v>
      </c>
      <c r="J110" s="16">
        <f t="shared" si="24"/>
        <v>-3792.7328360599881</v>
      </c>
      <c r="K110" s="16">
        <f t="shared" si="24"/>
        <v>-4117.9967516203151</v>
      </c>
      <c r="L110" s="16">
        <f t="shared" si="24"/>
        <v>-4452.6315706600226</v>
      </c>
      <c r="M110" s="16">
        <f t="shared" si="24"/>
        <v>-4796.9414612394594</v>
      </c>
    </row>
    <row r="111" spans="1:13" ht="12.75" x14ac:dyDescent="0.2">
      <c r="A111" s="1"/>
      <c r="B111" s="1"/>
      <c r="C111" s="1"/>
      <c r="D111" s="3"/>
      <c r="E111" s="3"/>
      <c r="F111" s="3"/>
      <c r="G111" s="3"/>
      <c r="H111" s="3"/>
      <c r="I111" s="3"/>
      <c r="J111" s="3"/>
      <c r="K111" s="3"/>
      <c r="L111" s="3"/>
      <c r="M111" s="3"/>
    </row>
    <row r="112" spans="1:13" ht="12.75" x14ac:dyDescent="0.2">
      <c r="A112" s="1"/>
      <c r="B112" s="1"/>
      <c r="C112" s="1"/>
      <c r="D112" s="3"/>
      <c r="E112" s="3"/>
      <c r="F112" s="3"/>
      <c r="G112" s="3"/>
      <c r="H112" s="3"/>
      <c r="I112" s="3"/>
      <c r="J112" s="3"/>
      <c r="K112" s="3"/>
      <c r="L112" s="3"/>
      <c r="M112" s="3"/>
    </row>
    <row r="113" spans="1:13" ht="12.75" x14ac:dyDescent="0.2">
      <c r="A113" s="1"/>
      <c r="B113" s="1"/>
      <c r="C113" s="1"/>
      <c r="D113" s="3"/>
      <c r="E113" s="3"/>
      <c r="F113" s="3"/>
      <c r="G113" s="3"/>
      <c r="H113" s="3"/>
      <c r="I113" s="3"/>
      <c r="J113" s="3"/>
      <c r="K113" s="3"/>
      <c r="L113" s="3"/>
      <c r="M113" s="3"/>
    </row>
    <row r="114" spans="1:13" ht="12.75" x14ac:dyDescent="0.2">
      <c r="A114" s="2" t="s">
        <v>104</v>
      </c>
      <c r="B114" s="1"/>
      <c r="C114" s="1"/>
      <c r="D114" s="31" t="s">
        <v>142</v>
      </c>
      <c r="E114" s="31" t="s">
        <v>117</v>
      </c>
      <c r="F114" s="31" t="s">
        <v>118</v>
      </c>
      <c r="G114" s="31" t="s">
        <v>119</v>
      </c>
      <c r="H114" s="31" t="s">
        <v>120</v>
      </c>
      <c r="I114" s="31" t="s">
        <v>121</v>
      </c>
      <c r="J114" s="31" t="s">
        <v>122</v>
      </c>
      <c r="K114" s="31" t="s">
        <v>123</v>
      </c>
      <c r="L114" s="31" t="s">
        <v>124</v>
      </c>
      <c r="M114" s="31" t="s">
        <v>125</v>
      </c>
    </row>
    <row r="115" spans="1:13" ht="12.75" x14ac:dyDescent="0.2">
      <c r="A115" s="1"/>
      <c r="B115" s="1"/>
      <c r="C115" s="1"/>
      <c r="D115" s="3"/>
      <c r="E115" s="3"/>
      <c r="F115" s="3"/>
      <c r="G115" s="3"/>
      <c r="H115" s="3"/>
      <c r="I115" s="3"/>
      <c r="J115" s="3"/>
      <c r="K115" s="3"/>
      <c r="L115" s="3"/>
      <c r="M115" s="3"/>
    </row>
    <row r="116" spans="1:13" ht="12.75" x14ac:dyDescent="0.2">
      <c r="A116" s="2" t="s">
        <v>146</v>
      </c>
      <c r="B116" s="1"/>
      <c r="C116" s="1"/>
      <c r="D116" s="16">
        <f>B58</f>
        <v>364000</v>
      </c>
      <c r="E116" s="16">
        <f t="shared" ref="E116:M116" si="25">D120</f>
        <v>351869.9992573901</v>
      </c>
      <c r="F116" s="16">
        <f t="shared" si="25"/>
        <v>339245.80356890813</v>
      </c>
      <c r="G116" s="16">
        <f t="shared" si="25"/>
        <v>326107.27866995602</v>
      </c>
      <c r="H116" s="16">
        <f t="shared" si="25"/>
        <v>312433.46999493043</v>
      </c>
      <c r="I116" s="16">
        <f t="shared" si="25"/>
        <v>298202.56925689435</v>
      </c>
      <c r="J116" s="16">
        <f t="shared" si="25"/>
        <v>283391.87966565229</v>
      </c>
      <c r="K116" s="16">
        <f t="shared" si="25"/>
        <v>267977.77972875687</v>
      </c>
      <c r="L116" s="16">
        <f t="shared" si="25"/>
        <v>251935.68557771257</v>
      </c>
      <c r="M116" s="16">
        <f t="shared" si="25"/>
        <v>235240.01175929018</v>
      </c>
    </row>
    <row r="117" spans="1:13" ht="12.75" hidden="1" x14ac:dyDescent="0.2">
      <c r="A117" s="2" t="s">
        <v>57</v>
      </c>
      <c r="B117" s="1"/>
      <c r="C117" s="1"/>
      <c r="D117" s="19">
        <f>D116*(1+E56/12)^12</f>
        <v>378829.92162280384</v>
      </c>
      <c r="E117" s="19">
        <f>D116*(1+E56/12)^24</f>
        <v>394264.03713390027</v>
      </c>
      <c r="F117" s="19">
        <f>D116*(1+E56/12)^36</f>
        <v>410326.96232452104</v>
      </c>
      <c r="G117" s="19">
        <f>D116*(1+E56/12)^48</f>
        <v>427044.31587121292</v>
      </c>
      <c r="H117" s="19">
        <f>D116*(1+E56/12)^60</f>
        <v>444442.76019493263</v>
      </c>
      <c r="I117" s="19">
        <f>D116*(1+E56/12)^72</f>
        <v>462550.04398480471</v>
      </c>
      <c r="J117" s="19">
        <f>D116*(1+E56/12)^84</f>
        <v>481395.04645436275</v>
      </c>
      <c r="K117" s="19">
        <f>D116*(1+E56/12)^96</f>
        <v>501007.8234008578</v>
      </c>
      <c r="L117" s="19">
        <f>D116*(1+E56/12)^108</f>
        <v>521419.65514109476</v>
      </c>
      <c r="M117" s="19">
        <f>D116*(1+E56/12)^120</f>
        <v>542663.09640024824</v>
      </c>
    </row>
    <row r="118" spans="1:13" ht="12.75" hidden="1" x14ac:dyDescent="0.2">
      <c r="A118" s="2" t="s">
        <v>58</v>
      </c>
      <c r="B118" s="1"/>
      <c r="C118" s="1"/>
      <c r="D118" s="20">
        <f>(1+E56/12)^12-1</f>
        <v>4.0741542919790819E-2</v>
      </c>
      <c r="E118" s="20">
        <f>(1+E56/12)^24-1</f>
        <v>8.3142959159066665E-2</v>
      </c>
      <c r="F118" s="20">
        <f>(1+E56/12)^36-1</f>
        <v>0.12727187451791488</v>
      </c>
      <c r="G118" s="20">
        <f>(1+E56/12)^48-1</f>
        <v>0.17319866997585964</v>
      </c>
      <c r="H118" s="20">
        <f>(1+E56/12)^60-1</f>
        <v>0.22099659394212257</v>
      </c>
      <c r="I118" s="20">
        <f>(1+E56/12)^72-1</f>
        <v>0.27074187907913383</v>
      </c>
      <c r="J118" s="20">
        <f>(1+E56/12)^84-1</f>
        <v>0.32251386388561198</v>
      </c>
      <c r="K118" s="20">
        <f>(1+E56/12)^96-1</f>
        <v>0.37639511923312585</v>
      </c>
      <c r="L118" s="20">
        <f>(1+E56/12)^108-1</f>
        <v>0.43247158005795261</v>
      </c>
      <c r="M118" s="20">
        <f>(1+E56/12)^120-1</f>
        <v>0.49083268241826428</v>
      </c>
    </row>
    <row r="119" spans="1:13" ht="12.75" hidden="1" x14ac:dyDescent="0.2">
      <c r="A119" s="2" t="s">
        <v>59</v>
      </c>
      <c r="B119" s="1"/>
      <c r="C119" s="1"/>
      <c r="D119" s="19">
        <f>(E58)/(E56/12)*(D118)</f>
        <v>26959.922365413753</v>
      </c>
      <c r="E119" s="19">
        <f>(E58)/(E56/12)*(E118)</f>
        <v>55018.233564992152</v>
      </c>
      <c r="F119" s="19">
        <f>(E58)/(E56/12)*(F118)</f>
        <v>84219.683654565015</v>
      </c>
      <c r="G119" s="19">
        <f>(E58)/(E56/12)*(G118)</f>
        <v>114610.84587628249</v>
      </c>
      <c r="H119" s="19">
        <f>(E58)/(E56/12)*(H118)</f>
        <v>146240.19093803829</v>
      </c>
      <c r="I119" s="19">
        <f>(E58)/(E56/12)*(I118)</f>
        <v>179158.16431915245</v>
      </c>
      <c r="J119" s="19">
        <f>(E58)/(E56/12)*(J118)</f>
        <v>213417.26672560588</v>
      </c>
      <c r="K119" s="19">
        <f>(E58)/(E56/12)*(K118)</f>
        <v>249072.13782314523</v>
      </c>
      <c r="L119" s="19">
        <f>(E58)/(E56/12)*(L118)</f>
        <v>286179.64338180458</v>
      </c>
      <c r="M119" s="19">
        <f>(E58)/(E56/12)*(M118)</f>
        <v>324798.96597082855</v>
      </c>
    </row>
    <row r="120" spans="1:13" ht="12.75" x14ac:dyDescent="0.2">
      <c r="A120" s="2" t="s">
        <v>145</v>
      </c>
      <c r="B120" s="1"/>
      <c r="C120" s="1"/>
      <c r="D120" s="16">
        <f t="shared" ref="D120:M120" si="26">D117-D119</f>
        <v>351869.9992573901</v>
      </c>
      <c r="E120" s="16">
        <f t="shared" si="26"/>
        <v>339245.80356890813</v>
      </c>
      <c r="F120" s="16">
        <f t="shared" si="26"/>
        <v>326107.27866995602</v>
      </c>
      <c r="G120" s="16">
        <f t="shared" si="26"/>
        <v>312433.46999493043</v>
      </c>
      <c r="H120" s="16">
        <f t="shared" si="26"/>
        <v>298202.56925689435</v>
      </c>
      <c r="I120" s="16">
        <f t="shared" si="26"/>
        <v>283391.87966565229</v>
      </c>
      <c r="J120" s="16">
        <f t="shared" si="26"/>
        <v>267977.77972875687</v>
      </c>
      <c r="K120" s="16">
        <f t="shared" si="26"/>
        <v>251935.68557771257</v>
      </c>
      <c r="L120" s="16">
        <f t="shared" si="26"/>
        <v>235240.01175929018</v>
      </c>
      <c r="M120" s="16">
        <f t="shared" si="26"/>
        <v>217864.13042941969</v>
      </c>
    </row>
    <row r="121" spans="1:13" ht="12.75" x14ac:dyDescent="0.2">
      <c r="A121" s="2" t="s">
        <v>105</v>
      </c>
      <c r="B121" s="1"/>
      <c r="C121" s="1"/>
      <c r="D121" s="16">
        <f t="shared" ref="D121:M121" si="27">D116-D120</f>
        <v>12130.000742609904</v>
      </c>
      <c r="E121" s="16">
        <f t="shared" si="27"/>
        <v>12624.195688481966</v>
      </c>
      <c r="F121" s="16">
        <f t="shared" si="27"/>
        <v>13138.524898952106</v>
      </c>
      <c r="G121" s="16">
        <f t="shared" si="27"/>
        <v>13673.80867502559</v>
      </c>
      <c r="H121" s="16">
        <f t="shared" si="27"/>
        <v>14230.900738036085</v>
      </c>
      <c r="I121" s="16">
        <f t="shared" si="27"/>
        <v>14810.689591242059</v>
      </c>
      <c r="J121" s="16">
        <f t="shared" si="27"/>
        <v>15414.099936895422</v>
      </c>
      <c r="K121" s="16">
        <f t="shared" si="27"/>
        <v>16042.094151044294</v>
      </c>
      <c r="L121" s="16">
        <f t="shared" si="27"/>
        <v>16695.673818422394</v>
      </c>
      <c r="M121" s="16">
        <f t="shared" si="27"/>
        <v>17375.881329870492</v>
      </c>
    </row>
    <row r="122" spans="1:13" ht="12.75" x14ac:dyDescent="0.2">
      <c r="A122" s="1"/>
      <c r="B122" s="1"/>
      <c r="C122" s="1"/>
      <c r="D122" s="3"/>
      <c r="E122" s="3"/>
      <c r="F122" s="3"/>
      <c r="G122" s="3"/>
      <c r="H122" s="3"/>
      <c r="I122" s="3"/>
      <c r="J122" s="3"/>
      <c r="K122" s="3"/>
      <c r="L122" s="3"/>
      <c r="M122" s="3"/>
    </row>
    <row r="123" spans="1:13" ht="12.75" x14ac:dyDescent="0.2">
      <c r="A123" s="1"/>
      <c r="B123" s="1"/>
      <c r="C123" s="1"/>
      <c r="D123" s="3"/>
      <c r="E123" s="3"/>
      <c r="F123" s="3"/>
      <c r="G123" s="3"/>
      <c r="H123" s="3"/>
      <c r="I123" s="3"/>
      <c r="J123" s="3"/>
      <c r="K123" s="3"/>
      <c r="L123" s="3"/>
      <c r="M123" s="3"/>
    </row>
    <row r="124" spans="1:13" ht="12.75" x14ac:dyDescent="0.2">
      <c r="A124" s="1"/>
      <c r="B124" s="1"/>
      <c r="C124" s="1"/>
      <c r="D124" s="3"/>
      <c r="E124" s="3"/>
      <c r="F124" s="3"/>
      <c r="G124" s="3"/>
      <c r="H124" s="3"/>
      <c r="I124" s="3"/>
      <c r="J124" s="3"/>
      <c r="K124" s="3"/>
      <c r="L124" s="3"/>
      <c r="M124" s="3"/>
    </row>
    <row r="125" spans="1:13" ht="12.75" x14ac:dyDescent="0.2">
      <c r="A125" s="2" t="s">
        <v>144</v>
      </c>
      <c r="B125" s="1"/>
      <c r="C125" s="1"/>
      <c r="D125" s="31" t="s">
        <v>142</v>
      </c>
      <c r="E125" s="31" t="s">
        <v>117</v>
      </c>
      <c r="F125" s="31" t="s">
        <v>118</v>
      </c>
      <c r="G125" s="31" t="s">
        <v>119</v>
      </c>
      <c r="H125" s="31" t="s">
        <v>120</v>
      </c>
      <c r="I125" s="31" t="s">
        <v>121</v>
      </c>
      <c r="J125" s="31" t="s">
        <v>122</v>
      </c>
      <c r="K125" s="31" t="s">
        <v>123</v>
      </c>
      <c r="L125" s="31" t="s">
        <v>124</v>
      </c>
      <c r="M125" s="31" t="s">
        <v>125</v>
      </c>
    </row>
    <row r="126" spans="1:13" ht="12.75" x14ac:dyDescent="0.2">
      <c r="A126" s="1"/>
      <c r="B126" s="1"/>
      <c r="C126" s="1"/>
      <c r="D126" s="3"/>
      <c r="E126" s="3"/>
      <c r="F126" s="3"/>
      <c r="G126" s="3"/>
      <c r="H126" s="3"/>
      <c r="I126" s="3"/>
      <c r="J126" s="3"/>
      <c r="K126" s="3"/>
      <c r="L126" s="3"/>
      <c r="M126" s="3"/>
    </row>
    <row r="127" spans="1:13" ht="12.75" x14ac:dyDescent="0.2">
      <c r="A127" s="2" t="s">
        <v>147</v>
      </c>
      <c r="B127" s="1"/>
      <c r="C127" s="18">
        <f>H44/100</f>
        <v>0.02</v>
      </c>
      <c r="D127" s="14">
        <f>C127</f>
        <v>0.02</v>
      </c>
      <c r="E127" s="14">
        <f>C127</f>
        <v>0.02</v>
      </c>
      <c r="F127" s="14">
        <f>C127</f>
        <v>0.02</v>
      </c>
      <c r="G127" s="14">
        <f>C127</f>
        <v>0.02</v>
      </c>
      <c r="H127" s="14">
        <f>C127</f>
        <v>0.02</v>
      </c>
      <c r="I127" s="14">
        <f>C127</f>
        <v>0.02</v>
      </c>
      <c r="J127" s="14">
        <f>C127</f>
        <v>0.02</v>
      </c>
      <c r="K127" s="14">
        <f>C127</f>
        <v>0.02</v>
      </c>
      <c r="L127" s="14">
        <f>C127</f>
        <v>0.02</v>
      </c>
      <c r="M127" s="14">
        <f>C127</f>
        <v>0.02</v>
      </c>
    </row>
    <row r="128" spans="1:13" ht="12.75" x14ac:dyDescent="0.2">
      <c r="A128" s="2" t="s">
        <v>112</v>
      </c>
      <c r="B128" s="1"/>
      <c r="C128" s="1"/>
      <c r="D128" s="16">
        <f>B56</f>
        <v>455000</v>
      </c>
      <c r="E128" s="16">
        <f t="shared" ref="E128:M128" si="28">D129</f>
        <v>464100</v>
      </c>
      <c r="F128" s="16">
        <f t="shared" si="28"/>
        <v>473382</v>
      </c>
      <c r="G128" s="16">
        <f t="shared" si="28"/>
        <v>482849.64</v>
      </c>
      <c r="H128" s="16">
        <f t="shared" si="28"/>
        <v>492506.63280000002</v>
      </c>
      <c r="I128" s="16">
        <f t="shared" si="28"/>
        <v>502356.76545600005</v>
      </c>
      <c r="J128" s="16">
        <f t="shared" si="28"/>
        <v>512403.90076512005</v>
      </c>
      <c r="K128" s="16">
        <f t="shared" si="28"/>
        <v>522651.97878042248</v>
      </c>
      <c r="L128" s="16">
        <f t="shared" si="28"/>
        <v>533105.01835603092</v>
      </c>
      <c r="M128" s="16">
        <f t="shared" si="28"/>
        <v>543767.11872315151</v>
      </c>
    </row>
    <row r="129" spans="1:13" ht="12.75" x14ac:dyDescent="0.2">
      <c r="A129" s="2" t="s">
        <v>60</v>
      </c>
      <c r="B129" s="1"/>
      <c r="C129" s="1"/>
      <c r="D129" s="16">
        <f t="shared" ref="D129:M129" si="29">(1+D127)*D128</f>
        <v>464100</v>
      </c>
      <c r="E129" s="16">
        <f t="shared" si="29"/>
        <v>473382</v>
      </c>
      <c r="F129" s="16">
        <f t="shared" si="29"/>
        <v>482849.64</v>
      </c>
      <c r="G129" s="16">
        <f t="shared" si="29"/>
        <v>492506.63280000002</v>
      </c>
      <c r="H129" s="16">
        <f t="shared" si="29"/>
        <v>502356.76545600005</v>
      </c>
      <c r="I129" s="16">
        <f t="shared" si="29"/>
        <v>512403.90076512005</v>
      </c>
      <c r="J129" s="16">
        <f t="shared" si="29"/>
        <v>522651.97878042248</v>
      </c>
      <c r="K129" s="16">
        <f t="shared" si="29"/>
        <v>533105.01835603092</v>
      </c>
      <c r="L129" s="16">
        <f t="shared" si="29"/>
        <v>543767.11872315151</v>
      </c>
      <c r="M129" s="16">
        <f t="shared" si="29"/>
        <v>554642.46109761449</v>
      </c>
    </row>
    <row r="130" spans="1:13" ht="12.75" x14ac:dyDescent="0.2">
      <c r="A130" s="2" t="s">
        <v>148</v>
      </c>
      <c r="B130" s="1"/>
      <c r="C130" s="1"/>
      <c r="D130" s="16">
        <f t="shared" ref="D130:M130" si="30">D129-D128</f>
        <v>9100</v>
      </c>
      <c r="E130" s="16">
        <f t="shared" si="30"/>
        <v>9282</v>
      </c>
      <c r="F130" s="16">
        <f t="shared" si="30"/>
        <v>9467.640000000014</v>
      </c>
      <c r="G130" s="16">
        <f t="shared" si="30"/>
        <v>9656.9928000000073</v>
      </c>
      <c r="H130" s="16">
        <f t="shared" si="30"/>
        <v>9850.1326560000307</v>
      </c>
      <c r="I130" s="16">
        <f t="shared" si="30"/>
        <v>10047.13530912</v>
      </c>
      <c r="J130" s="16">
        <f t="shared" si="30"/>
        <v>10248.078015302424</v>
      </c>
      <c r="K130" s="16">
        <f t="shared" si="30"/>
        <v>10453.039575608447</v>
      </c>
      <c r="L130" s="16">
        <f t="shared" si="30"/>
        <v>10662.100367120584</v>
      </c>
      <c r="M130" s="16">
        <f t="shared" si="30"/>
        <v>10875.342374462984</v>
      </c>
    </row>
    <row r="131" spans="1:13" ht="12.75" x14ac:dyDescent="0.2">
      <c r="A131" s="1"/>
      <c r="B131" s="1"/>
      <c r="C131" s="1"/>
      <c r="D131" s="3"/>
      <c r="E131" s="3"/>
      <c r="F131" s="3"/>
      <c r="G131" s="3"/>
      <c r="H131" s="3"/>
      <c r="I131" s="3"/>
      <c r="J131" s="3"/>
      <c r="K131" s="3"/>
      <c r="L131" s="3"/>
      <c r="M131" s="3"/>
    </row>
    <row r="132" spans="1:13" ht="12.75" x14ac:dyDescent="0.2">
      <c r="A132" s="1"/>
      <c r="B132" s="1"/>
      <c r="C132" s="1"/>
      <c r="D132" s="3"/>
      <c r="E132" s="2" t="s">
        <v>106</v>
      </c>
      <c r="F132" s="3"/>
      <c r="G132" s="3"/>
      <c r="H132" s="3"/>
      <c r="I132" s="3"/>
      <c r="J132" s="3"/>
      <c r="K132" s="3"/>
      <c r="L132" s="4" t="s">
        <v>182</v>
      </c>
      <c r="M132" s="3"/>
    </row>
    <row r="133" spans="1:13" ht="12.75" x14ac:dyDescent="0.2">
      <c r="A133" s="1"/>
      <c r="B133" s="1"/>
      <c r="C133" s="1"/>
      <c r="D133" s="3"/>
      <c r="E133" s="3"/>
      <c r="F133" s="3"/>
      <c r="G133" s="3"/>
      <c r="H133" s="3"/>
      <c r="I133" s="3"/>
      <c r="J133" s="3"/>
      <c r="K133" s="3"/>
      <c r="L133" s="3"/>
      <c r="M133" s="3"/>
    </row>
    <row r="134" spans="1:13" ht="12.75" x14ac:dyDescent="0.2">
      <c r="A134" s="2" t="s">
        <v>149</v>
      </c>
      <c r="B134" s="1"/>
      <c r="C134" s="1"/>
      <c r="D134" s="3"/>
      <c r="E134" s="3"/>
      <c r="F134" s="3"/>
      <c r="G134" s="3"/>
      <c r="H134" s="3"/>
      <c r="I134" s="3"/>
      <c r="J134" s="3"/>
      <c r="K134" s="3"/>
      <c r="L134" s="3"/>
      <c r="M134" s="3"/>
    </row>
    <row r="135" spans="1:13" ht="12.75" x14ac:dyDescent="0.2">
      <c r="A135" s="1"/>
      <c r="B135" s="1"/>
      <c r="C135" s="1"/>
      <c r="D135" s="3"/>
      <c r="E135" s="3"/>
      <c r="F135" s="3"/>
      <c r="G135" s="3"/>
      <c r="H135" s="3"/>
      <c r="I135" s="3"/>
      <c r="J135" s="3"/>
      <c r="K135" s="3"/>
      <c r="L135" s="3"/>
      <c r="M135" s="3"/>
    </row>
    <row r="136" spans="1:13" ht="12.75" x14ac:dyDescent="0.2">
      <c r="A136" s="1"/>
      <c r="B136" s="1"/>
      <c r="C136" s="1"/>
      <c r="D136" s="31" t="s">
        <v>142</v>
      </c>
      <c r="E136" s="31" t="s">
        <v>117</v>
      </c>
      <c r="F136" s="31" t="s">
        <v>118</v>
      </c>
      <c r="G136" s="31" t="s">
        <v>119</v>
      </c>
      <c r="H136" s="31" t="s">
        <v>120</v>
      </c>
      <c r="I136" s="31" t="s">
        <v>121</v>
      </c>
      <c r="J136" s="31" t="s">
        <v>122</v>
      </c>
      <c r="K136" s="31" t="s">
        <v>123</v>
      </c>
      <c r="L136" s="31" t="s">
        <v>124</v>
      </c>
      <c r="M136" s="31" t="s">
        <v>125</v>
      </c>
    </row>
    <row r="137" spans="1:13" ht="12.75" x14ac:dyDescent="0.2">
      <c r="A137" s="1"/>
      <c r="B137" s="1"/>
      <c r="C137" s="1"/>
      <c r="D137" s="3"/>
      <c r="E137" s="3"/>
      <c r="F137" s="3"/>
      <c r="G137" s="3"/>
      <c r="H137" s="3"/>
      <c r="I137" s="3"/>
      <c r="J137" s="3"/>
      <c r="K137" s="3"/>
      <c r="L137" s="3"/>
      <c r="M137" s="3"/>
    </row>
    <row r="138" spans="1:13" ht="12.75" x14ac:dyDescent="0.2">
      <c r="A138" s="2" t="s">
        <v>61</v>
      </c>
      <c r="B138" s="1"/>
      <c r="C138" s="1"/>
      <c r="D138" s="16">
        <f t="shared" ref="D138:M138" si="31">D100</f>
        <v>11290.791216201393</v>
      </c>
      <c r="E138" s="16">
        <f t="shared" si="31"/>
        <v>12045.991456201406</v>
      </c>
      <c r="F138" s="16">
        <f t="shared" si="31"/>
        <v>12816.295701001396</v>
      </c>
      <c r="G138" s="16">
        <f t="shared" si="31"/>
        <v>13602.006030697401</v>
      </c>
      <c r="H138" s="16">
        <f t="shared" si="31"/>
        <v>14403.43056698731</v>
      </c>
      <c r="I138" s="16">
        <f t="shared" si="31"/>
        <v>15220.883594003044</v>
      </c>
      <c r="J138" s="16">
        <f t="shared" si="31"/>
        <v>16054.685681559069</v>
      </c>
      <c r="K138" s="16">
        <f t="shared" si="31"/>
        <v>16905.163810866234</v>
      </c>
      <c r="L138" s="16">
        <f t="shared" si="31"/>
        <v>17772.651502759534</v>
      </c>
      <c r="M138" s="16">
        <f t="shared" si="31"/>
        <v>18657.488948490693</v>
      </c>
    </row>
    <row r="139" spans="1:13" ht="12.75" x14ac:dyDescent="0.2">
      <c r="A139" s="2" t="s">
        <v>62</v>
      </c>
      <c r="B139" s="1"/>
      <c r="C139" s="1"/>
      <c r="D139" s="16">
        <f t="shared" ref="D139:M139" si="32">D110</f>
        <v>-2022.1742309384849</v>
      </c>
      <c r="E139" s="16">
        <f t="shared" si="32"/>
        <v>-2297.0411718303417</v>
      </c>
      <c r="F139" s="16">
        <f t="shared" si="32"/>
        <v>-2579.6605319897703</v>
      </c>
      <c r="G139" s="16">
        <f t="shared" si="32"/>
        <v>-2870.2792352590577</v>
      </c>
      <c r="H139" s="16">
        <f t="shared" si="32"/>
        <v>-3169.1528871051469</v>
      </c>
      <c r="I139" s="16">
        <f t="shared" si="32"/>
        <v>-3476.5461007539225</v>
      </c>
      <c r="J139" s="16">
        <f t="shared" si="32"/>
        <v>-3792.7328360599881</v>
      </c>
      <c r="K139" s="16">
        <f t="shared" si="32"/>
        <v>-4117.9967516203151</v>
      </c>
      <c r="L139" s="16">
        <f t="shared" si="32"/>
        <v>-4452.6315706600226</v>
      </c>
      <c r="M139" s="16">
        <f t="shared" si="32"/>
        <v>-4796.9414612394594</v>
      </c>
    </row>
    <row r="140" spans="1:13" ht="12.75" x14ac:dyDescent="0.2">
      <c r="A140" s="2" t="s">
        <v>63</v>
      </c>
      <c r="B140" s="1"/>
      <c r="C140" s="1"/>
      <c r="D140" s="16">
        <f t="shared" ref="D140:M140" si="33">D121</f>
        <v>12130.000742609904</v>
      </c>
      <c r="E140" s="16">
        <f t="shared" si="33"/>
        <v>12624.195688481966</v>
      </c>
      <c r="F140" s="16">
        <f t="shared" si="33"/>
        <v>13138.524898952106</v>
      </c>
      <c r="G140" s="16">
        <f t="shared" si="33"/>
        <v>13673.80867502559</v>
      </c>
      <c r="H140" s="16">
        <f t="shared" si="33"/>
        <v>14230.900738036085</v>
      </c>
      <c r="I140" s="16">
        <f t="shared" si="33"/>
        <v>14810.689591242059</v>
      </c>
      <c r="J140" s="16">
        <f t="shared" si="33"/>
        <v>15414.099936895422</v>
      </c>
      <c r="K140" s="16">
        <f t="shared" si="33"/>
        <v>16042.094151044294</v>
      </c>
      <c r="L140" s="16">
        <f t="shared" si="33"/>
        <v>16695.673818422394</v>
      </c>
      <c r="M140" s="16">
        <f t="shared" si="33"/>
        <v>17375.881329870492</v>
      </c>
    </row>
    <row r="141" spans="1:13" ht="12.75" x14ac:dyDescent="0.2">
      <c r="A141" s="2" t="s">
        <v>64</v>
      </c>
      <c r="B141" s="1"/>
      <c r="C141" s="1"/>
      <c r="D141" s="16">
        <f t="shared" ref="D141:M141" si="34">D130</f>
        <v>9100</v>
      </c>
      <c r="E141" s="16">
        <f t="shared" si="34"/>
        <v>9282</v>
      </c>
      <c r="F141" s="16">
        <f t="shared" si="34"/>
        <v>9467.640000000014</v>
      </c>
      <c r="G141" s="16">
        <f t="shared" si="34"/>
        <v>9656.9928000000073</v>
      </c>
      <c r="H141" s="16">
        <f t="shared" si="34"/>
        <v>9850.1326560000307</v>
      </c>
      <c r="I141" s="16">
        <f t="shared" si="34"/>
        <v>10047.13530912</v>
      </c>
      <c r="J141" s="16">
        <f t="shared" si="34"/>
        <v>10248.078015302424</v>
      </c>
      <c r="K141" s="16">
        <f t="shared" si="34"/>
        <v>10453.039575608447</v>
      </c>
      <c r="L141" s="16">
        <f t="shared" si="34"/>
        <v>10662.100367120584</v>
      </c>
      <c r="M141" s="16">
        <f t="shared" si="34"/>
        <v>10875.342374462984</v>
      </c>
    </row>
    <row r="142" spans="1:13" ht="12.75" x14ac:dyDescent="0.2">
      <c r="A142" s="2" t="s">
        <v>65</v>
      </c>
      <c r="B142" s="1"/>
      <c r="C142" s="1"/>
      <c r="D142" s="16">
        <f t="shared" ref="D142:M142" si="35">SUM(D138:D141)</f>
        <v>30498.617727872814</v>
      </c>
      <c r="E142" s="16">
        <f t="shared" si="35"/>
        <v>31655.145972853032</v>
      </c>
      <c r="F142" s="16">
        <f t="shared" si="35"/>
        <v>32842.800067963748</v>
      </c>
      <c r="G142" s="16">
        <f t="shared" si="35"/>
        <v>34062.528270463939</v>
      </c>
      <c r="H142" s="16">
        <f t="shared" si="35"/>
        <v>35315.311073918281</v>
      </c>
      <c r="I142" s="16">
        <f t="shared" si="35"/>
        <v>36602.162393611179</v>
      </c>
      <c r="J142" s="16">
        <f t="shared" si="35"/>
        <v>37924.130797696926</v>
      </c>
      <c r="K142" s="16">
        <f t="shared" si="35"/>
        <v>39282.30078589866</v>
      </c>
      <c r="L142" s="16">
        <f t="shared" si="35"/>
        <v>40677.794117642494</v>
      </c>
      <c r="M142" s="16">
        <f t="shared" si="35"/>
        <v>42111.77119158471</v>
      </c>
    </row>
    <row r="143" spans="1:13" ht="12.75" x14ac:dyDescent="0.2">
      <c r="A143" s="1"/>
      <c r="B143" s="1"/>
      <c r="C143" s="1"/>
      <c r="D143" s="3"/>
      <c r="E143" s="3"/>
      <c r="F143" s="3"/>
      <c r="G143" s="3"/>
      <c r="H143" s="3"/>
      <c r="I143" s="3"/>
      <c r="J143" s="3"/>
      <c r="K143" s="3"/>
      <c r="L143" s="3"/>
      <c r="M143" s="3"/>
    </row>
    <row r="144" spans="1:13" ht="12.75" x14ac:dyDescent="0.2">
      <c r="A144" s="2" t="s">
        <v>66</v>
      </c>
      <c r="B144" s="1"/>
      <c r="C144" s="1"/>
      <c r="D144" s="3"/>
      <c r="E144" s="3"/>
      <c r="F144" s="3"/>
      <c r="G144" s="3"/>
      <c r="H144" s="3"/>
      <c r="I144" s="3"/>
      <c r="J144" s="3"/>
      <c r="K144" s="3"/>
      <c r="L144" s="3"/>
      <c r="M144" s="3"/>
    </row>
    <row r="145" spans="1:13" ht="12.75" x14ac:dyDescent="0.2">
      <c r="A145" s="2" t="s">
        <v>67</v>
      </c>
      <c r="B145" s="1"/>
      <c r="C145" s="1"/>
      <c r="D145" s="16">
        <f>B57</f>
        <v>91000</v>
      </c>
      <c r="E145" s="16">
        <f t="shared" ref="E145:M146" si="36">D145</f>
        <v>91000</v>
      </c>
      <c r="F145" s="16">
        <f t="shared" si="36"/>
        <v>91000</v>
      </c>
      <c r="G145" s="16">
        <f t="shared" si="36"/>
        <v>91000</v>
      </c>
      <c r="H145" s="16">
        <f t="shared" si="36"/>
        <v>91000</v>
      </c>
      <c r="I145" s="16">
        <f t="shared" si="36"/>
        <v>91000</v>
      </c>
      <c r="J145" s="16">
        <f t="shared" si="36"/>
        <v>91000</v>
      </c>
      <c r="K145" s="16">
        <f t="shared" si="36"/>
        <v>91000</v>
      </c>
      <c r="L145" s="16">
        <f t="shared" si="36"/>
        <v>91000</v>
      </c>
      <c r="M145" s="16">
        <f t="shared" si="36"/>
        <v>91000</v>
      </c>
    </row>
    <row r="146" spans="1:13" ht="12.75" x14ac:dyDescent="0.2">
      <c r="A146" s="2" t="s">
        <v>150</v>
      </c>
      <c r="B146" s="1"/>
      <c r="C146" s="1"/>
      <c r="D146" s="21">
        <f>H48</f>
        <v>0</v>
      </c>
      <c r="E146" s="21">
        <f>D146</f>
        <v>0</v>
      </c>
      <c r="F146" s="21">
        <f t="shared" si="36"/>
        <v>0</v>
      </c>
      <c r="G146" s="21">
        <f t="shared" si="36"/>
        <v>0</v>
      </c>
      <c r="H146" s="21">
        <f t="shared" si="36"/>
        <v>0</v>
      </c>
      <c r="I146" s="21">
        <f t="shared" si="36"/>
        <v>0</v>
      </c>
      <c r="J146" s="21">
        <f t="shared" si="36"/>
        <v>0</v>
      </c>
      <c r="K146" s="21">
        <f t="shared" si="36"/>
        <v>0</v>
      </c>
      <c r="L146" s="21">
        <f t="shared" si="36"/>
        <v>0</v>
      </c>
      <c r="M146" s="21">
        <f t="shared" si="36"/>
        <v>0</v>
      </c>
    </row>
    <row r="147" spans="1:13" ht="12.75" x14ac:dyDescent="0.2">
      <c r="A147" s="2" t="s">
        <v>151</v>
      </c>
      <c r="B147" s="1"/>
      <c r="C147" s="1"/>
      <c r="D147" s="16">
        <f>SUM(D145:D146)</f>
        <v>91000</v>
      </c>
      <c r="E147" s="16">
        <f t="shared" ref="E147:M147" si="37">SUM(E145:E146)</f>
        <v>91000</v>
      </c>
      <c r="F147" s="16">
        <f t="shared" si="37"/>
        <v>91000</v>
      </c>
      <c r="G147" s="16">
        <f t="shared" si="37"/>
        <v>91000</v>
      </c>
      <c r="H147" s="16">
        <f t="shared" si="37"/>
        <v>91000</v>
      </c>
      <c r="I147" s="16">
        <f t="shared" si="37"/>
        <v>91000</v>
      </c>
      <c r="J147" s="16">
        <f t="shared" si="37"/>
        <v>91000</v>
      </c>
      <c r="K147" s="16">
        <f t="shared" si="37"/>
        <v>91000</v>
      </c>
      <c r="L147" s="16">
        <f t="shared" si="37"/>
        <v>91000</v>
      </c>
      <c r="M147" s="16">
        <f t="shared" si="37"/>
        <v>91000</v>
      </c>
    </row>
    <row r="148" spans="1:13" ht="12.75" x14ac:dyDescent="0.2">
      <c r="A148" s="1"/>
      <c r="B148" s="1"/>
      <c r="C148" s="1"/>
      <c r="D148" s="3"/>
      <c r="E148" s="3"/>
      <c r="F148" s="3"/>
      <c r="G148" s="3"/>
      <c r="H148" s="3"/>
      <c r="I148" s="3"/>
      <c r="J148" s="3"/>
      <c r="K148" s="3"/>
      <c r="L148" s="3"/>
      <c r="M148" s="3"/>
    </row>
    <row r="149" spans="1:13" ht="12.75" x14ac:dyDescent="0.2">
      <c r="A149" s="2" t="s">
        <v>68</v>
      </c>
      <c r="B149" s="1"/>
      <c r="C149" s="1"/>
      <c r="D149" s="14">
        <f>D142/D147</f>
        <v>0.3351496453612397</v>
      </c>
      <c r="E149" s="14">
        <f t="shared" ref="E149:M149" si="38">E142/E147</f>
        <v>0.34785874695442892</v>
      </c>
      <c r="F149" s="14">
        <f t="shared" si="38"/>
        <v>0.36090989085674446</v>
      </c>
      <c r="G149" s="14">
        <f t="shared" si="38"/>
        <v>0.37431349747762571</v>
      </c>
      <c r="H149" s="14">
        <f t="shared" si="38"/>
        <v>0.38808034147162945</v>
      </c>
      <c r="I149" s="14">
        <f t="shared" si="38"/>
        <v>0.40222156476495802</v>
      </c>
      <c r="J149" s="14">
        <f t="shared" si="38"/>
        <v>0.4167486900845816</v>
      </c>
      <c r="K149" s="14">
        <f t="shared" si="38"/>
        <v>0.43167363500987538</v>
      </c>
      <c r="L149" s="14">
        <f t="shared" si="38"/>
        <v>0.44700872656749996</v>
      </c>
      <c r="M149" s="14">
        <f t="shared" si="38"/>
        <v>0.46276671639104078</v>
      </c>
    </row>
    <row r="150" spans="1:13" ht="12.75" x14ac:dyDescent="0.2">
      <c r="A150" s="1"/>
      <c r="B150" s="1"/>
      <c r="C150" s="1"/>
      <c r="D150" s="3"/>
      <c r="E150" s="3"/>
      <c r="F150" s="3"/>
      <c r="G150" s="3"/>
      <c r="H150" s="3"/>
      <c r="I150" s="3"/>
      <c r="J150" s="3"/>
      <c r="K150" s="3"/>
      <c r="L150" s="3"/>
      <c r="M150" s="3"/>
    </row>
    <row r="151" spans="1:13" ht="12.75" x14ac:dyDescent="0.2">
      <c r="A151" s="1"/>
      <c r="B151" s="1"/>
      <c r="C151" s="1"/>
      <c r="D151" s="3"/>
      <c r="E151" s="3"/>
      <c r="F151" s="3"/>
      <c r="G151" s="3"/>
      <c r="H151" s="3"/>
      <c r="I151" s="3"/>
      <c r="J151" s="3"/>
      <c r="K151" s="3"/>
      <c r="L151" s="3"/>
      <c r="M151" s="3"/>
    </row>
    <row r="152" spans="1:13" ht="12.75" x14ac:dyDescent="0.2">
      <c r="A152" s="2" t="s">
        <v>111</v>
      </c>
      <c r="B152" s="1"/>
      <c r="C152" s="1"/>
      <c r="D152" s="3"/>
      <c r="E152" s="3"/>
      <c r="F152" s="3"/>
      <c r="G152" s="3"/>
      <c r="H152" s="3"/>
      <c r="I152" s="3"/>
      <c r="J152" s="3"/>
      <c r="K152" s="3"/>
      <c r="L152" s="3"/>
      <c r="M152" s="3"/>
    </row>
    <row r="153" spans="1:13" ht="12.75" x14ac:dyDescent="0.2">
      <c r="A153" s="1"/>
      <c r="B153" s="1"/>
      <c r="C153" s="1"/>
      <c r="D153" s="3"/>
      <c r="E153" s="3"/>
      <c r="F153" s="3"/>
      <c r="G153" s="3"/>
      <c r="H153" s="3"/>
      <c r="I153" s="3"/>
      <c r="J153" s="3"/>
      <c r="K153" s="3"/>
      <c r="L153" s="3"/>
      <c r="M153" s="3"/>
    </row>
    <row r="154" spans="1:13" ht="12.75" x14ac:dyDescent="0.2">
      <c r="A154" s="1"/>
      <c r="B154" s="1"/>
      <c r="C154" s="1"/>
      <c r="D154" s="31" t="s">
        <v>142</v>
      </c>
      <c r="E154" s="31" t="s">
        <v>117</v>
      </c>
      <c r="F154" s="31" t="s">
        <v>118</v>
      </c>
      <c r="G154" s="31" t="s">
        <v>119</v>
      </c>
      <c r="H154" s="31" t="s">
        <v>120</v>
      </c>
      <c r="I154" s="31" t="s">
        <v>121</v>
      </c>
      <c r="J154" s="31" t="s">
        <v>122</v>
      </c>
      <c r="K154" s="31" t="s">
        <v>123</v>
      </c>
      <c r="L154" s="31" t="s">
        <v>124</v>
      </c>
      <c r="M154" s="31" t="s">
        <v>125</v>
      </c>
    </row>
    <row r="155" spans="1:13" ht="12.75" x14ac:dyDescent="0.2">
      <c r="A155" s="1"/>
      <c r="B155" s="1"/>
      <c r="C155" s="1"/>
      <c r="D155" s="3"/>
      <c r="E155" s="3"/>
      <c r="F155" s="3"/>
      <c r="G155" s="3"/>
      <c r="H155" s="3"/>
      <c r="I155" s="3"/>
      <c r="J155" s="3"/>
      <c r="K155" s="3"/>
      <c r="L155" s="3"/>
      <c r="M155" s="3"/>
    </row>
    <row r="156" spans="1:13" ht="12.75" x14ac:dyDescent="0.2">
      <c r="A156" s="2" t="s">
        <v>61</v>
      </c>
      <c r="B156" s="1"/>
      <c r="C156" s="1"/>
      <c r="D156" s="16">
        <f t="shared" ref="D156:M160" si="39">D138</f>
        <v>11290.791216201393</v>
      </c>
      <c r="E156" s="16">
        <f t="shared" si="39"/>
        <v>12045.991456201406</v>
      </c>
      <c r="F156" s="16">
        <f t="shared" si="39"/>
        <v>12816.295701001396</v>
      </c>
      <c r="G156" s="16">
        <f t="shared" si="39"/>
        <v>13602.006030697401</v>
      </c>
      <c r="H156" s="16">
        <f t="shared" si="39"/>
        <v>14403.43056698731</v>
      </c>
      <c r="I156" s="16">
        <f t="shared" si="39"/>
        <v>15220.883594003044</v>
      </c>
      <c r="J156" s="16">
        <f t="shared" si="39"/>
        <v>16054.685681559069</v>
      </c>
      <c r="K156" s="16">
        <f t="shared" si="39"/>
        <v>16905.163810866234</v>
      </c>
      <c r="L156" s="16">
        <f t="shared" si="39"/>
        <v>17772.651502759534</v>
      </c>
      <c r="M156" s="16">
        <f t="shared" si="39"/>
        <v>18657.488948490693</v>
      </c>
    </row>
    <row r="157" spans="1:13" ht="12.75" x14ac:dyDescent="0.2">
      <c r="A157" s="2" t="s">
        <v>62</v>
      </c>
      <c r="B157" s="1"/>
      <c r="C157" s="1"/>
      <c r="D157" s="16">
        <f t="shared" si="39"/>
        <v>-2022.1742309384849</v>
      </c>
      <c r="E157" s="16">
        <f t="shared" si="39"/>
        <v>-2297.0411718303417</v>
      </c>
      <c r="F157" s="16">
        <f t="shared" si="39"/>
        <v>-2579.6605319897703</v>
      </c>
      <c r="G157" s="16">
        <f t="shared" si="39"/>
        <v>-2870.2792352590577</v>
      </c>
      <c r="H157" s="16">
        <f t="shared" si="39"/>
        <v>-3169.1528871051469</v>
      </c>
      <c r="I157" s="16">
        <f t="shared" si="39"/>
        <v>-3476.5461007539225</v>
      </c>
      <c r="J157" s="16">
        <f t="shared" si="39"/>
        <v>-3792.7328360599881</v>
      </c>
      <c r="K157" s="16">
        <f t="shared" si="39"/>
        <v>-4117.9967516203151</v>
      </c>
      <c r="L157" s="16">
        <f t="shared" si="39"/>
        <v>-4452.6315706600226</v>
      </c>
      <c r="M157" s="16">
        <f t="shared" si="39"/>
        <v>-4796.9414612394594</v>
      </c>
    </row>
    <row r="158" spans="1:13" ht="12.75" x14ac:dyDescent="0.2">
      <c r="A158" s="2" t="s">
        <v>63</v>
      </c>
      <c r="B158" s="1"/>
      <c r="C158" s="1"/>
      <c r="D158" s="16">
        <f t="shared" si="39"/>
        <v>12130.000742609904</v>
      </c>
      <c r="E158" s="16">
        <f t="shared" si="39"/>
        <v>12624.195688481966</v>
      </c>
      <c r="F158" s="16">
        <f t="shared" si="39"/>
        <v>13138.524898952106</v>
      </c>
      <c r="G158" s="16">
        <f t="shared" si="39"/>
        <v>13673.80867502559</v>
      </c>
      <c r="H158" s="16">
        <f t="shared" si="39"/>
        <v>14230.900738036085</v>
      </c>
      <c r="I158" s="16">
        <f t="shared" si="39"/>
        <v>14810.689591242059</v>
      </c>
      <c r="J158" s="16">
        <f t="shared" si="39"/>
        <v>15414.099936895422</v>
      </c>
      <c r="K158" s="16">
        <f t="shared" si="39"/>
        <v>16042.094151044294</v>
      </c>
      <c r="L158" s="16">
        <f t="shared" si="39"/>
        <v>16695.673818422394</v>
      </c>
      <c r="M158" s="16">
        <f t="shared" si="39"/>
        <v>17375.881329870492</v>
      </c>
    </row>
    <row r="159" spans="1:13" ht="12.75" x14ac:dyDescent="0.2">
      <c r="A159" s="2" t="s">
        <v>64</v>
      </c>
      <c r="B159" s="1"/>
      <c r="C159" s="1"/>
      <c r="D159" s="16">
        <f t="shared" si="39"/>
        <v>9100</v>
      </c>
      <c r="E159" s="16">
        <f t="shared" si="39"/>
        <v>9282</v>
      </c>
      <c r="F159" s="16">
        <f t="shared" si="39"/>
        <v>9467.640000000014</v>
      </c>
      <c r="G159" s="16">
        <f t="shared" si="39"/>
        <v>9656.9928000000073</v>
      </c>
      <c r="H159" s="16">
        <f t="shared" si="39"/>
        <v>9850.1326560000307</v>
      </c>
      <c r="I159" s="16">
        <f t="shared" si="39"/>
        <v>10047.13530912</v>
      </c>
      <c r="J159" s="16">
        <f t="shared" si="39"/>
        <v>10248.078015302424</v>
      </c>
      <c r="K159" s="16">
        <f t="shared" si="39"/>
        <v>10453.039575608447</v>
      </c>
      <c r="L159" s="16">
        <f t="shared" si="39"/>
        <v>10662.100367120584</v>
      </c>
      <c r="M159" s="16">
        <f t="shared" si="39"/>
        <v>10875.342374462984</v>
      </c>
    </row>
    <row r="160" spans="1:13" ht="12.75" x14ac:dyDescent="0.2">
      <c r="A160" s="2" t="s">
        <v>69</v>
      </c>
      <c r="B160" s="1"/>
      <c r="C160" s="1"/>
      <c r="D160" s="16">
        <f t="shared" si="39"/>
        <v>30498.617727872814</v>
      </c>
      <c r="E160" s="16">
        <f t="shared" si="39"/>
        <v>31655.145972853032</v>
      </c>
      <c r="F160" s="16">
        <f t="shared" si="39"/>
        <v>32842.800067963748</v>
      </c>
      <c r="G160" s="16">
        <f t="shared" si="39"/>
        <v>34062.528270463939</v>
      </c>
      <c r="H160" s="16">
        <f t="shared" si="39"/>
        <v>35315.311073918281</v>
      </c>
      <c r="I160" s="16">
        <f t="shared" si="39"/>
        <v>36602.162393611179</v>
      </c>
      <c r="J160" s="16">
        <f t="shared" si="39"/>
        <v>37924.130797696926</v>
      </c>
      <c r="K160" s="16">
        <f t="shared" si="39"/>
        <v>39282.30078589866</v>
      </c>
      <c r="L160" s="16">
        <f t="shared" si="39"/>
        <v>40677.794117642494</v>
      </c>
      <c r="M160" s="16">
        <f t="shared" si="39"/>
        <v>42111.77119158471</v>
      </c>
    </row>
    <row r="161" spans="1:13" ht="12.75" x14ac:dyDescent="0.2">
      <c r="A161" s="1"/>
      <c r="B161" s="1"/>
      <c r="C161" s="1"/>
      <c r="D161" s="3"/>
      <c r="E161" s="3"/>
      <c r="F161" s="3"/>
      <c r="G161" s="3"/>
      <c r="H161" s="3"/>
      <c r="I161" s="3"/>
      <c r="J161" s="3"/>
      <c r="K161" s="3"/>
      <c r="L161" s="3"/>
      <c r="M161" s="3"/>
    </row>
    <row r="162" spans="1:13" ht="12.75" x14ac:dyDescent="0.2">
      <c r="A162" s="2" t="s">
        <v>70</v>
      </c>
      <c r="B162" s="1"/>
      <c r="C162" s="1"/>
      <c r="D162" s="3"/>
      <c r="E162" s="3"/>
      <c r="F162" s="3"/>
      <c r="G162" s="3"/>
      <c r="H162" s="3"/>
      <c r="I162" s="3"/>
      <c r="J162" s="3"/>
      <c r="K162" s="3"/>
      <c r="L162" s="3"/>
      <c r="M162" s="3"/>
    </row>
    <row r="163" spans="1:13" ht="12.75" x14ac:dyDescent="0.2">
      <c r="A163" s="2" t="s">
        <v>152</v>
      </c>
      <c r="B163" s="1"/>
      <c r="C163" s="1"/>
      <c r="D163" s="16">
        <f>D128+$H48</f>
        <v>455000</v>
      </c>
      <c r="E163" s="16">
        <f t="shared" ref="E163:M163" si="40">E128+$H48</f>
        <v>464100</v>
      </c>
      <c r="F163" s="16">
        <f t="shared" si="40"/>
        <v>473382</v>
      </c>
      <c r="G163" s="16">
        <f t="shared" si="40"/>
        <v>482849.64</v>
      </c>
      <c r="H163" s="16">
        <f t="shared" si="40"/>
        <v>492506.63280000002</v>
      </c>
      <c r="I163" s="16">
        <f t="shared" si="40"/>
        <v>502356.76545600005</v>
      </c>
      <c r="J163" s="16">
        <f t="shared" si="40"/>
        <v>512403.90076512005</v>
      </c>
      <c r="K163" s="16">
        <f t="shared" si="40"/>
        <v>522651.97878042248</v>
      </c>
      <c r="L163" s="16">
        <f t="shared" si="40"/>
        <v>533105.01835603092</v>
      </c>
      <c r="M163" s="16">
        <f t="shared" si="40"/>
        <v>543767.11872315151</v>
      </c>
    </row>
    <row r="164" spans="1:13" ht="12.75" x14ac:dyDescent="0.2">
      <c r="A164" s="2" t="s">
        <v>71</v>
      </c>
      <c r="B164" s="1"/>
      <c r="C164" s="1"/>
      <c r="D164" s="16">
        <f t="shared" ref="D164:M164" si="41">D116</f>
        <v>364000</v>
      </c>
      <c r="E164" s="16">
        <f t="shared" si="41"/>
        <v>351869.9992573901</v>
      </c>
      <c r="F164" s="16">
        <f t="shared" si="41"/>
        <v>339245.80356890813</v>
      </c>
      <c r="G164" s="16">
        <f t="shared" si="41"/>
        <v>326107.27866995602</v>
      </c>
      <c r="H164" s="16">
        <f t="shared" si="41"/>
        <v>312433.46999493043</v>
      </c>
      <c r="I164" s="16">
        <f t="shared" si="41"/>
        <v>298202.56925689435</v>
      </c>
      <c r="J164" s="16">
        <f t="shared" si="41"/>
        <v>283391.87966565229</v>
      </c>
      <c r="K164" s="16">
        <f t="shared" si="41"/>
        <v>267977.77972875687</v>
      </c>
      <c r="L164" s="16">
        <f t="shared" si="41"/>
        <v>251935.68557771257</v>
      </c>
      <c r="M164" s="16">
        <f t="shared" si="41"/>
        <v>235240.01175929018</v>
      </c>
    </row>
    <row r="165" spans="1:13" ht="12.75" x14ac:dyDescent="0.2">
      <c r="A165" s="2" t="s">
        <v>72</v>
      </c>
      <c r="B165" s="1"/>
      <c r="C165" s="1"/>
      <c r="D165" s="16">
        <f t="shared" ref="D165:M165" si="42">D163-D164</f>
        <v>91000</v>
      </c>
      <c r="E165" s="16">
        <f t="shared" si="42"/>
        <v>112230.0007426099</v>
      </c>
      <c r="F165" s="16">
        <f t="shared" si="42"/>
        <v>134136.19643109187</v>
      </c>
      <c r="G165" s="16">
        <f t="shared" si="42"/>
        <v>156742.36133004399</v>
      </c>
      <c r="H165" s="16">
        <f t="shared" si="42"/>
        <v>180073.16280506959</v>
      </c>
      <c r="I165" s="16">
        <f t="shared" si="42"/>
        <v>204154.1961991057</v>
      </c>
      <c r="J165" s="16">
        <f t="shared" si="42"/>
        <v>229012.02109946776</v>
      </c>
      <c r="K165" s="16">
        <f t="shared" si="42"/>
        <v>254674.19905166561</v>
      </c>
      <c r="L165" s="16">
        <f t="shared" si="42"/>
        <v>281169.33277831832</v>
      </c>
      <c r="M165" s="16">
        <f t="shared" si="42"/>
        <v>308527.10696386133</v>
      </c>
    </row>
    <row r="166" spans="1:13" ht="12.75" x14ac:dyDescent="0.2">
      <c r="A166" s="1"/>
      <c r="B166" s="1"/>
      <c r="C166" s="1"/>
      <c r="D166" s="3"/>
      <c r="E166" s="3"/>
      <c r="F166" s="3"/>
      <c r="G166" s="3"/>
      <c r="H166" s="3"/>
      <c r="I166" s="3"/>
      <c r="J166" s="3"/>
      <c r="K166" s="3"/>
      <c r="L166" s="3"/>
      <c r="M166" s="3"/>
    </row>
    <row r="167" spans="1:13" ht="12.75" x14ac:dyDescent="0.2">
      <c r="A167" s="2" t="s">
        <v>73</v>
      </c>
      <c r="B167" s="1"/>
      <c r="C167" s="1"/>
      <c r="D167" s="14">
        <f t="shared" ref="D167:M167" si="43">D160/D165</f>
        <v>0.3351496453612397</v>
      </c>
      <c r="E167" s="14">
        <f t="shared" si="43"/>
        <v>0.28205600787129509</v>
      </c>
      <c r="F167" s="14">
        <f t="shared" si="43"/>
        <v>0.24484666288294282</v>
      </c>
      <c r="G167" s="14">
        <f t="shared" si="43"/>
        <v>0.21731539566856659</v>
      </c>
      <c r="H167" s="14">
        <f t="shared" si="43"/>
        <v>0.19611645913137729</v>
      </c>
      <c r="I167" s="14">
        <f t="shared" si="43"/>
        <v>0.1792868482503007</v>
      </c>
      <c r="J167" s="14">
        <f t="shared" si="43"/>
        <v>0.16559886514090533</v>
      </c>
      <c r="K167" s="14">
        <f t="shared" si="43"/>
        <v>0.15424531001638483</v>
      </c>
      <c r="L167" s="14">
        <f t="shared" si="43"/>
        <v>0.14467365169484536</v>
      </c>
      <c r="M167" s="14">
        <f t="shared" si="43"/>
        <v>0.13649293770649912</v>
      </c>
    </row>
    <row r="168" spans="1:13" ht="12.75" x14ac:dyDescent="0.2">
      <c r="A168" s="1"/>
      <c r="B168" s="1"/>
      <c r="C168" s="1"/>
      <c r="D168" s="3"/>
      <c r="E168" s="3"/>
      <c r="F168" s="3"/>
      <c r="G168" s="3"/>
      <c r="H168" s="3"/>
      <c r="I168" s="3"/>
      <c r="J168" s="3"/>
      <c r="K168" s="3"/>
      <c r="L168" s="3"/>
      <c r="M168" s="3"/>
    </row>
    <row r="169" spans="1:13" ht="12.75" x14ac:dyDescent="0.2">
      <c r="A169" s="1"/>
      <c r="B169" s="1"/>
      <c r="C169" s="1"/>
      <c r="D169" s="3"/>
      <c r="E169" s="2" t="s">
        <v>107</v>
      </c>
      <c r="F169" s="3"/>
      <c r="G169" s="3"/>
      <c r="H169" s="3"/>
      <c r="I169" s="3"/>
      <c r="J169" s="3"/>
      <c r="K169" s="3"/>
      <c r="L169" s="3"/>
      <c r="M169" s="3"/>
    </row>
    <row r="170" spans="1:13" ht="12.75" x14ac:dyDescent="0.2">
      <c r="A170" s="1"/>
      <c r="B170" s="1"/>
      <c r="C170" s="1"/>
      <c r="D170" s="3"/>
      <c r="E170" s="3"/>
      <c r="F170" s="3"/>
      <c r="G170" s="3"/>
      <c r="H170" s="3"/>
      <c r="I170" s="3"/>
      <c r="J170" s="3"/>
      <c r="K170" s="3"/>
      <c r="L170" s="3"/>
      <c r="M170" s="3"/>
    </row>
    <row r="171" spans="1:13" ht="12.75" x14ac:dyDescent="0.2">
      <c r="A171" s="1"/>
      <c r="B171" s="1"/>
      <c r="C171" s="1"/>
      <c r="D171" s="31" t="s">
        <v>142</v>
      </c>
      <c r="E171" s="31" t="s">
        <v>117</v>
      </c>
      <c r="F171" s="31" t="s">
        <v>118</v>
      </c>
      <c r="G171" s="31" t="s">
        <v>119</v>
      </c>
      <c r="H171" s="31" t="s">
        <v>120</v>
      </c>
      <c r="I171" s="31" t="s">
        <v>121</v>
      </c>
      <c r="J171" s="31" t="s">
        <v>122</v>
      </c>
      <c r="K171" s="31" t="s">
        <v>123</v>
      </c>
      <c r="L171" s="31" t="s">
        <v>124</v>
      </c>
      <c r="M171" s="31" t="s">
        <v>125</v>
      </c>
    </row>
    <row r="172" spans="1:13" ht="12.75" x14ac:dyDescent="0.2">
      <c r="A172" s="2" t="s">
        <v>74</v>
      </c>
      <c r="B172" s="1"/>
      <c r="C172" s="1"/>
      <c r="D172" s="3"/>
      <c r="E172" s="3"/>
      <c r="F172" s="3"/>
      <c r="G172" s="3"/>
      <c r="H172" s="3"/>
      <c r="I172" s="3"/>
      <c r="J172" s="3"/>
      <c r="K172" s="3"/>
      <c r="L172" s="3"/>
      <c r="M172" s="3"/>
    </row>
    <row r="173" spans="1:13" ht="12.75" x14ac:dyDescent="0.2">
      <c r="A173" s="2" t="s">
        <v>75</v>
      </c>
      <c r="B173" s="1"/>
      <c r="C173" s="1"/>
      <c r="D173" s="16">
        <f>B56+B59</f>
        <v>459550</v>
      </c>
      <c r="E173" s="16">
        <f t="shared" ref="E173:M173" si="44">D173</f>
        <v>459550</v>
      </c>
      <c r="F173" s="16">
        <f t="shared" si="44"/>
        <v>459550</v>
      </c>
      <c r="G173" s="16">
        <f t="shared" si="44"/>
        <v>459550</v>
      </c>
      <c r="H173" s="16">
        <f t="shared" si="44"/>
        <v>459550</v>
      </c>
      <c r="I173" s="16">
        <f t="shared" si="44"/>
        <v>459550</v>
      </c>
      <c r="J173" s="16">
        <f t="shared" si="44"/>
        <v>459550</v>
      </c>
      <c r="K173" s="16">
        <f t="shared" si="44"/>
        <v>459550</v>
      </c>
      <c r="L173" s="16">
        <f t="shared" si="44"/>
        <v>459550</v>
      </c>
      <c r="M173" s="16">
        <f t="shared" si="44"/>
        <v>459550</v>
      </c>
    </row>
    <row r="174" spans="1:13" ht="12.75" x14ac:dyDescent="0.2">
      <c r="A174" s="2" t="s">
        <v>76</v>
      </c>
      <c r="B174" s="1"/>
      <c r="C174" s="1"/>
      <c r="D174" s="16">
        <f>H48</f>
        <v>0</v>
      </c>
      <c r="E174" s="16">
        <f>H48</f>
        <v>0</v>
      </c>
      <c r="F174" s="16">
        <f>H48</f>
        <v>0</v>
      </c>
      <c r="G174" s="16">
        <f>H48</f>
        <v>0</v>
      </c>
      <c r="H174" s="16">
        <f>H48</f>
        <v>0</v>
      </c>
      <c r="I174" s="16">
        <f>H48</f>
        <v>0</v>
      </c>
      <c r="J174" s="16">
        <f>H48</f>
        <v>0</v>
      </c>
      <c r="K174" s="16">
        <f>H48</f>
        <v>0</v>
      </c>
      <c r="L174" s="16">
        <f>H48</f>
        <v>0</v>
      </c>
      <c r="M174" s="16">
        <f>H48</f>
        <v>0</v>
      </c>
    </row>
    <row r="175" spans="1:13" ht="12.75" x14ac:dyDescent="0.2">
      <c r="A175" s="2" t="s">
        <v>77</v>
      </c>
      <c r="B175" s="1"/>
      <c r="C175" s="18">
        <f>H50/100</f>
        <v>0.06</v>
      </c>
      <c r="D175" s="16">
        <f>C175*D129</f>
        <v>27846</v>
      </c>
      <c r="E175" s="16">
        <f>C175*E129</f>
        <v>28402.92</v>
      </c>
      <c r="F175" s="16">
        <f>C175*F129</f>
        <v>28970.9784</v>
      </c>
      <c r="G175" s="16">
        <f>C175*G129</f>
        <v>29550.397968000001</v>
      </c>
      <c r="H175" s="16">
        <f>C175*H129</f>
        <v>30141.405927360003</v>
      </c>
      <c r="I175" s="16">
        <f>C175*I129</f>
        <v>30744.2340459072</v>
      </c>
      <c r="J175" s="16">
        <f>C175*J129</f>
        <v>31359.118726825349</v>
      </c>
      <c r="K175" s="16">
        <f>C175*K129</f>
        <v>31986.301101361852</v>
      </c>
      <c r="L175" s="16">
        <f>C175*L129</f>
        <v>32626.027123389089</v>
      </c>
      <c r="M175" s="16">
        <f>C175*M129</f>
        <v>33278.547665856866</v>
      </c>
    </row>
    <row r="176" spans="1:13" ht="12.75" x14ac:dyDescent="0.2">
      <c r="A176" s="2" t="s">
        <v>78</v>
      </c>
      <c r="B176" s="1"/>
      <c r="C176" s="1"/>
      <c r="D176" s="16">
        <f>D107</f>
        <v>14229.09090909091</v>
      </c>
      <c r="E176" s="16">
        <f t="shared" ref="E176:M176" si="45">D176+E107</f>
        <v>28458.18181818182</v>
      </c>
      <c r="F176" s="16">
        <f t="shared" si="45"/>
        <v>42687.272727272728</v>
      </c>
      <c r="G176" s="16">
        <f t="shared" si="45"/>
        <v>56916.36363636364</v>
      </c>
      <c r="H176" s="16">
        <f t="shared" si="45"/>
        <v>71145.454545454544</v>
      </c>
      <c r="I176" s="16">
        <f t="shared" si="45"/>
        <v>85374.545454545456</v>
      </c>
      <c r="J176" s="16">
        <f t="shared" si="45"/>
        <v>99603.636363636368</v>
      </c>
      <c r="K176" s="16">
        <f t="shared" si="45"/>
        <v>113832.72727272728</v>
      </c>
      <c r="L176" s="16">
        <f t="shared" si="45"/>
        <v>128061.81818181819</v>
      </c>
      <c r="M176" s="16">
        <f t="shared" si="45"/>
        <v>142290.90909090909</v>
      </c>
    </row>
    <row r="177" spans="1:13" ht="12.75" x14ac:dyDescent="0.2">
      <c r="A177" s="2" t="s">
        <v>79</v>
      </c>
      <c r="B177" s="1"/>
      <c r="C177" s="1"/>
      <c r="D177" s="16">
        <f t="shared" ref="D177:M177" si="46">D173+D174+D175-D176</f>
        <v>473166.90909090912</v>
      </c>
      <c r="E177" s="16">
        <f t="shared" si="46"/>
        <v>459494.73818181816</v>
      </c>
      <c r="F177" s="16">
        <f t="shared" si="46"/>
        <v>445833.70567272732</v>
      </c>
      <c r="G177" s="16">
        <f t="shared" si="46"/>
        <v>432184.03433163633</v>
      </c>
      <c r="H177" s="16">
        <f t="shared" si="46"/>
        <v>418545.95138190547</v>
      </c>
      <c r="I177" s="16">
        <f t="shared" si="46"/>
        <v>404919.68859136174</v>
      </c>
      <c r="J177" s="16">
        <f t="shared" si="46"/>
        <v>391305.48236318899</v>
      </c>
      <c r="K177" s="16">
        <f t="shared" si="46"/>
        <v>377703.57382863457</v>
      </c>
      <c r="L177" s="16">
        <f t="shared" si="46"/>
        <v>364114.20894157089</v>
      </c>
      <c r="M177" s="16">
        <f t="shared" si="46"/>
        <v>350537.63857494784</v>
      </c>
    </row>
    <row r="178" spans="1:13" ht="12.75" x14ac:dyDescent="0.2">
      <c r="A178" s="1"/>
      <c r="B178" s="1"/>
      <c r="C178" s="1"/>
      <c r="D178" s="3"/>
      <c r="E178" s="3"/>
      <c r="F178" s="3"/>
      <c r="G178" s="3"/>
      <c r="H178" s="3"/>
      <c r="I178" s="3"/>
      <c r="J178" s="3"/>
      <c r="K178" s="3"/>
      <c r="L178" s="3"/>
      <c r="M178" s="3"/>
    </row>
    <row r="179" spans="1:13" ht="12.75" x14ac:dyDescent="0.2">
      <c r="A179" s="1" t="s">
        <v>171</v>
      </c>
      <c r="B179" s="1"/>
      <c r="C179" s="1"/>
      <c r="D179" s="3"/>
      <c r="E179" s="3"/>
      <c r="F179" s="3"/>
      <c r="G179" s="3"/>
      <c r="H179" s="3"/>
      <c r="I179" s="3"/>
      <c r="J179" s="3"/>
      <c r="K179" s="3"/>
      <c r="L179" s="3"/>
      <c r="M179" s="3"/>
    </row>
    <row r="180" spans="1:13" ht="12.75" x14ac:dyDescent="0.2">
      <c r="A180" s="1" t="s">
        <v>80</v>
      </c>
      <c r="B180" s="1"/>
      <c r="C180" s="1"/>
      <c r="D180" s="16">
        <f>D129</f>
        <v>464100</v>
      </c>
      <c r="E180" s="16">
        <f t="shared" ref="E180:M180" si="47">E129</f>
        <v>473382</v>
      </c>
      <c r="F180" s="16">
        <f t="shared" si="47"/>
        <v>482849.64</v>
      </c>
      <c r="G180" s="16">
        <f t="shared" si="47"/>
        <v>492506.63280000002</v>
      </c>
      <c r="H180" s="16">
        <f t="shared" si="47"/>
        <v>502356.76545600005</v>
      </c>
      <c r="I180" s="16">
        <f t="shared" si="47"/>
        <v>512403.90076512005</v>
      </c>
      <c r="J180" s="16">
        <f t="shared" si="47"/>
        <v>522651.97878042248</v>
      </c>
      <c r="K180" s="16">
        <f t="shared" si="47"/>
        <v>533105.01835603092</v>
      </c>
      <c r="L180" s="16">
        <f t="shared" si="47"/>
        <v>543767.11872315151</v>
      </c>
      <c r="M180" s="16">
        <f t="shared" si="47"/>
        <v>554642.46109761449</v>
      </c>
    </row>
    <row r="181" spans="1:13" ht="12.75" x14ac:dyDescent="0.2">
      <c r="A181" s="1" t="s">
        <v>172</v>
      </c>
      <c r="B181" s="1"/>
      <c r="C181" s="1"/>
      <c r="D181" s="16">
        <f>D173+D174+D175</f>
        <v>487396</v>
      </c>
      <c r="E181" s="16">
        <f t="shared" ref="E181:M181" si="48">E173+E174+E175</f>
        <v>487952.92</v>
      </c>
      <c r="F181" s="16">
        <f t="shared" si="48"/>
        <v>488520.97840000002</v>
      </c>
      <c r="G181" s="16">
        <f t="shared" si="48"/>
        <v>489100.39796799998</v>
      </c>
      <c r="H181" s="16">
        <f t="shared" si="48"/>
        <v>489691.40592736</v>
      </c>
      <c r="I181" s="16">
        <f t="shared" si="48"/>
        <v>490294.23404590721</v>
      </c>
      <c r="J181" s="16">
        <f t="shared" si="48"/>
        <v>490909.11872682534</v>
      </c>
      <c r="K181" s="16">
        <f t="shared" si="48"/>
        <v>491536.30110136187</v>
      </c>
      <c r="L181" s="16">
        <f t="shared" si="48"/>
        <v>492176.02712338907</v>
      </c>
      <c r="M181" s="16">
        <f t="shared" si="48"/>
        <v>492828.5476658569</v>
      </c>
    </row>
    <row r="182" spans="1:13" ht="12.75" x14ac:dyDescent="0.2">
      <c r="A182" s="1" t="s">
        <v>173</v>
      </c>
      <c r="B182" s="1"/>
      <c r="C182" s="1"/>
      <c r="D182" s="16">
        <f>D180-D181</f>
        <v>-23296</v>
      </c>
      <c r="E182" s="16">
        <f t="shared" ref="E182:M182" si="49">E180-E181</f>
        <v>-14570.919999999984</v>
      </c>
      <c r="F182" s="16">
        <f t="shared" si="49"/>
        <v>-5671.3384000000078</v>
      </c>
      <c r="G182" s="16">
        <f t="shared" si="49"/>
        <v>3406.2348320000456</v>
      </c>
      <c r="H182" s="16">
        <f t="shared" si="49"/>
        <v>12665.359528640052</v>
      </c>
      <c r="I182" s="16">
        <f t="shared" si="49"/>
        <v>22109.666719212837</v>
      </c>
      <c r="J182" s="16">
        <f t="shared" si="49"/>
        <v>31742.860053597135</v>
      </c>
      <c r="K182" s="16">
        <f t="shared" si="49"/>
        <v>41568.717254669056</v>
      </c>
      <c r="L182" s="16">
        <f t="shared" si="49"/>
        <v>51591.09159976244</v>
      </c>
      <c r="M182" s="16">
        <f t="shared" si="49"/>
        <v>61813.913431757595</v>
      </c>
    </row>
    <row r="183" spans="1:13" ht="12.75" x14ac:dyDescent="0.2">
      <c r="A183" s="1"/>
      <c r="B183" s="1"/>
      <c r="C183" s="1"/>
      <c r="D183" s="3"/>
      <c r="E183" s="3"/>
      <c r="F183" s="3"/>
      <c r="G183" s="3"/>
      <c r="H183" s="3"/>
      <c r="I183" s="3"/>
      <c r="J183" s="3"/>
      <c r="K183" s="3"/>
      <c r="L183" s="3"/>
      <c r="M183" s="3"/>
    </row>
    <row r="184" spans="1:13" ht="12.75" x14ac:dyDescent="0.2">
      <c r="A184" s="2" t="s">
        <v>170</v>
      </c>
      <c r="B184" s="1"/>
      <c r="C184" s="1"/>
      <c r="D184" s="3"/>
      <c r="E184" s="3"/>
      <c r="F184" s="3"/>
      <c r="G184" s="3"/>
      <c r="H184" s="3"/>
      <c r="I184" s="3"/>
      <c r="J184" s="3"/>
      <c r="K184" s="3"/>
      <c r="L184" s="3"/>
      <c r="M184" s="3"/>
    </row>
    <row r="185" spans="1:13" ht="12.75" x14ac:dyDescent="0.2">
      <c r="A185" s="2" t="s">
        <v>80</v>
      </c>
      <c r="B185" s="1"/>
      <c r="C185" s="1"/>
      <c r="D185" s="16">
        <f t="shared" ref="D185:M185" si="50">D129</f>
        <v>464100</v>
      </c>
      <c r="E185" s="16">
        <f t="shared" si="50"/>
        <v>473382</v>
      </c>
      <c r="F185" s="16">
        <f t="shared" si="50"/>
        <v>482849.64</v>
      </c>
      <c r="G185" s="16">
        <f t="shared" si="50"/>
        <v>492506.63280000002</v>
      </c>
      <c r="H185" s="16">
        <f t="shared" si="50"/>
        <v>502356.76545600005</v>
      </c>
      <c r="I185" s="16">
        <f t="shared" si="50"/>
        <v>512403.90076512005</v>
      </c>
      <c r="J185" s="16">
        <f t="shared" si="50"/>
        <v>522651.97878042248</v>
      </c>
      <c r="K185" s="16">
        <f t="shared" si="50"/>
        <v>533105.01835603092</v>
      </c>
      <c r="L185" s="16">
        <f t="shared" si="50"/>
        <v>543767.11872315151</v>
      </c>
      <c r="M185" s="16">
        <f t="shared" si="50"/>
        <v>554642.46109761449</v>
      </c>
    </row>
    <row r="186" spans="1:13" ht="12.75" x14ac:dyDescent="0.2">
      <c r="A186" s="2" t="s">
        <v>81</v>
      </c>
      <c r="B186" s="1"/>
      <c r="C186" s="1"/>
      <c r="D186" s="16">
        <f t="shared" ref="D186:M186" si="51">D177</f>
        <v>473166.90909090912</v>
      </c>
      <c r="E186" s="16">
        <f t="shared" si="51"/>
        <v>459494.73818181816</v>
      </c>
      <c r="F186" s="16">
        <f t="shared" si="51"/>
        <v>445833.70567272732</v>
      </c>
      <c r="G186" s="16">
        <f t="shared" si="51"/>
        <v>432184.03433163633</v>
      </c>
      <c r="H186" s="16">
        <f t="shared" si="51"/>
        <v>418545.95138190547</v>
      </c>
      <c r="I186" s="16">
        <f t="shared" si="51"/>
        <v>404919.68859136174</v>
      </c>
      <c r="J186" s="16">
        <f t="shared" si="51"/>
        <v>391305.48236318899</v>
      </c>
      <c r="K186" s="16">
        <f t="shared" si="51"/>
        <v>377703.57382863457</v>
      </c>
      <c r="L186" s="16">
        <f t="shared" si="51"/>
        <v>364114.20894157089</v>
      </c>
      <c r="M186" s="16">
        <f t="shared" si="51"/>
        <v>350537.63857494784</v>
      </c>
    </row>
    <row r="187" spans="1:13" ht="12.75" x14ac:dyDescent="0.2">
      <c r="A187" s="2" t="s">
        <v>176</v>
      </c>
      <c r="B187" s="1"/>
      <c r="C187" s="1"/>
      <c r="D187" s="16">
        <f t="shared" ref="D187:M187" si="52">D185-D186</f>
        <v>-9066.9090909091174</v>
      </c>
      <c r="E187" s="16">
        <f t="shared" si="52"/>
        <v>13887.26181818184</v>
      </c>
      <c r="F187" s="16">
        <f t="shared" si="52"/>
        <v>37015.934327272698</v>
      </c>
      <c r="G187" s="16">
        <f t="shared" si="52"/>
        <v>60322.598468363693</v>
      </c>
      <c r="H187" s="16">
        <f t="shared" si="52"/>
        <v>83810.814074094582</v>
      </c>
      <c r="I187" s="16">
        <f t="shared" si="52"/>
        <v>107484.21217375831</v>
      </c>
      <c r="J187" s="16">
        <f t="shared" si="52"/>
        <v>131346.49641723349</v>
      </c>
      <c r="K187" s="16">
        <f t="shared" si="52"/>
        <v>155401.44452739635</v>
      </c>
      <c r="L187" s="16">
        <f t="shared" si="52"/>
        <v>179652.90978158062</v>
      </c>
      <c r="M187" s="16">
        <f t="shared" si="52"/>
        <v>204104.82252266665</v>
      </c>
    </row>
    <row r="188" spans="1:13" ht="12.75" x14ac:dyDescent="0.2">
      <c r="A188" s="1"/>
      <c r="B188" s="1"/>
      <c r="C188" s="1"/>
      <c r="D188" s="3"/>
      <c r="E188" s="3"/>
      <c r="F188" s="3"/>
      <c r="G188" s="3"/>
      <c r="H188" s="3"/>
      <c r="I188" s="3"/>
      <c r="J188" s="3"/>
      <c r="K188" s="3"/>
      <c r="L188" s="3"/>
      <c r="M188" s="3"/>
    </row>
    <row r="189" spans="1:13" ht="12.75" x14ac:dyDescent="0.2">
      <c r="A189" s="2" t="s">
        <v>82</v>
      </c>
      <c r="B189" s="1"/>
      <c r="C189" s="1"/>
      <c r="D189" s="3"/>
      <c r="E189" s="3"/>
      <c r="F189" s="3"/>
      <c r="G189" s="3"/>
      <c r="H189" s="3"/>
      <c r="I189" s="3"/>
      <c r="J189" s="3"/>
      <c r="K189" s="3"/>
      <c r="L189" s="3"/>
      <c r="M189" s="3"/>
    </row>
    <row r="190" spans="1:13" ht="12.75" x14ac:dyDescent="0.2">
      <c r="A190" s="2" t="s">
        <v>175</v>
      </c>
      <c r="B190" s="1"/>
      <c r="C190" s="1"/>
      <c r="D190" s="16">
        <f t="shared" ref="D190:M190" si="53">D187</f>
        <v>-9066.9090909091174</v>
      </c>
      <c r="E190" s="16">
        <f t="shared" si="53"/>
        <v>13887.26181818184</v>
      </c>
      <c r="F190" s="16">
        <f t="shared" si="53"/>
        <v>37015.934327272698</v>
      </c>
      <c r="G190" s="16">
        <f t="shared" si="53"/>
        <v>60322.598468363693</v>
      </c>
      <c r="H190" s="16">
        <f t="shared" si="53"/>
        <v>83810.814074094582</v>
      </c>
      <c r="I190" s="16">
        <f t="shared" si="53"/>
        <v>107484.21217375831</v>
      </c>
      <c r="J190" s="16">
        <f t="shared" si="53"/>
        <v>131346.49641723349</v>
      </c>
      <c r="K190" s="16">
        <f t="shared" si="53"/>
        <v>155401.44452739635</v>
      </c>
      <c r="L190" s="16">
        <f t="shared" si="53"/>
        <v>179652.90978158062</v>
      </c>
      <c r="M190" s="16">
        <f t="shared" si="53"/>
        <v>204104.82252266665</v>
      </c>
    </row>
    <row r="191" spans="1:13" ht="12.75" x14ac:dyDescent="0.2">
      <c r="A191" s="2" t="s">
        <v>83</v>
      </c>
      <c r="B191" s="1"/>
      <c r="C191" s="1"/>
      <c r="D191" s="16"/>
      <c r="E191" s="16">
        <f>((E176*$H$47)+(E182*$H$46))/100</f>
        <v>4200.3614545454584</v>
      </c>
      <c r="F191" s="16">
        <f t="shared" ref="F191:M191" si="54">((F176*$H$47)+(F182*$H$46))/100</f>
        <v>9537.5505018181793</v>
      </c>
      <c r="G191" s="16">
        <f t="shared" si="54"/>
        <v>14910.337875490919</v>
      </c>
      <c r="H191" s="16">
        <f t="shared" si="54"/>
        <v>20319.435542091647</v>
      </c>
      <c r="I191" s="16">
        <f t="shared" si="54"/>
        <v>25765.569707478928</v>
      </c>
      <c r="J191" s="16">
        <f t="shared" si="54"/>
        <v>31249.48110162852</v>
      </c>
      <c r="K191" s="16">
        <f t="shared" si="54"/>
        <v>36771.925269115629</v>
      </c>
      <c r="L191" s="16">
        <f t="shared" si="54"/>
        <v>42333.672865407039</v>
      </c>
      <c r="M191" s="16">
        <f t="shared" si="54"/>
        <v>47935.509959078787</v>
      </c>
    </row>
    <row r="192" spans="1:13" ht="12.75" x14ac:dyDescent="0.2">
      <c r="A192" s="1"/>
      <c r="B192" s="1"/>
      <c r="C192" s="1"/>
      <c r="D192" s="3"/>
      <c r="E192" s="32"/>
      <c r="F192" s="3"/>
      <c r="G192" s="3"/>
      <c r="H192" s="3"/>
      <c r="I192" s="3"/>
      <c r="J192" s="3"/>
      <c r="K192" s="3"/>
      <c r="L192" s="3"/>
      <c r="M192" s="3"/>
    </row>
    <row r="193" spans="1:13" ht="12.75" x14ac:dyDescent="0.2">
      <c r="A193" s="2" t="s">
        <v>143</v>
      </c>
      <c r="B193" s="1"/>
      <c r="C193" s="1"/>
      <c r="D193" s="3"/>
      <c r="E193" s="3"/>
      <c r="F193" s="3"/>
      <c r="G193" s="3"/>
      <c r="H193" s="3"/>
      <c r="I193" s="3"/>
      <c r="J193" s="3"/>
      <c r="K193" s="3"/>
      <c r="L193" s="3"/>
      <c r="M193" s="3"/>
    </row>
    <row r="194" spans="1:13" ht="12.75" x14ac:dyDescent="0.2">
      <c r="A194" s="2" t="s">
        <v>80</v>
      </c>
      <c r="B194" s="1"/>
      <c r="C194" s="1"/>
      <c r="D194" s="16">
        <f t="shared" ref="D194:M194" si="55">D185</f>
        <v>464100</v>
      </c>
      <c r="E194" s="16">
        <f t="shared" si="55"/>
        <v>473382</v>
      </c>
      <c r="F194" s="16">
        <f t="shared" si="55"/>
        <v>482849.64</v>
      </c>
      <c r="G194" s="16">
        <f t="shared" si="55"/>
        <v>492506.63280000002</v>
      </c>
      <c r="H194" s="16">
        <f t="shared" si="55"/>
        <v>502356.76545600005</v>
      </c>
      <c r="I194" s="16">
        <f t="shared" si="55"/>
        <v>512403.90076512005</v>
      </c>
      <c r="J194" s="16">
        <f t="shared" si="55"/>
        <v>522651.97878042248</v>
      </c>
      <c r="K194" s="16">
        <f t="shared" si="55"/>
        <v>533105.01835603092</v>
      </c>
      <c r="L194" s="16">
        <f t="shared" si="55"/>
        <v>543767.11872315151</v>
      </c>
      <c r="M194" s="16">
        <f t="shared" si="55"/>
        <v>554642.46109761449</v>
      </c>
    </row>
    <row r="195" spans="1:13" ht="12.75" x14ac:dyDescent="0.2">
      <c r="A195" s="2" t="s">
        <v>84</v>
      </c>
      <c r="B195" s="1"/>
      <c r="C195" s="1"/>
      <c r="D195" s="16">
        <f t="shared" ref="D195:M195" si="56">D175</f>
        <v>27846</v>
      </c>
      <c r="E195" s="16">
        <f t="shared" si="56"/>
        <v>28402.92</v>
      </c>
      <c r="F195" s="16">
        <f t="shared" si="56"/>
        <v>28970.9784</v>
      </c>
      <c r="G195" s="16">
        <f t="shared" si="56"/>
        <v>29550.397968000001</v>
      </c>
      <c r="H195" s="16">
        <f t="shared" si="56"/>
        <v>30141.405927360003</v>
      </c>
      <c r="I195" s="16">
        <f t="shared" si="56"/>
        <v>30744.2340459072</v>
      </c>
      <c r="J195" s="16">
        <f t="shared" si="56"/>
        <v>31359.118726825349</v>
      </c>
      <c r="K195" s="16">
        <f t="shared" si="56"/>
        <v>31986.301101361852</v>
      </c>
      <c r="L195" s="16">
        <f t="shared" si="56"/>
        <v>32626.027123389089</v>
      </c>
      <c r="M195" s="16">
        <f t="shared" si="56"/>
        <v>33278.547665856866</v>
      </c>
    </row>
    <row r="196" spans="1:13" ht="12.75" x14ac:dyDescent="0.2">
      <c r="A196" s="2" t="s">
        <v>85</v>
      </c>
      <c r="B196" s="1"/>
      <c r="C196" s="1"/>
      <c r="D196" s="16">
        <f t="shared" ref="D196:M196" si="57">D120</f>
        <v>351869.9992573901</v>
      </c>
      <c r="E196" s="16">
        <f t="shared" si="57"/>
        <v>339245.80356890813</v>
      </c>
      <c r="F196" s="16">
        <f t="shared" si="57"/>
        <v>326107.27866995602</v>
      </c>
      <c r="G196" s="16">
        <f t="shared" si="57"/>
        <v>312433.46999493043</v>
      </c>
      <c r="H196" s="16">
        <f t="shared" si="57"/>
        <v>298202.56925689435</v>
      </c>
      <c r="I196" s="16">
        <f t="shared" si="57"/>
        <v>283391.87966565229</v>
      </c>
      <c r="J196" s="16">
        <f t="shared" si="57"/>
        <v>267977.77972875687</v>
      </c>
      <c r="K196" s="16">
        <f t="shared" si="57"/>
        <v>251935.68557771257</v>
      </c>
      <c r="L196" s="16">
        <f t="shared" si="57"/>
        <v>235240.01175929018</v>
      </c>
      <c r="M196" s="16">
        <f t="shared" si="57"/>
        <v>217864.13042941969</v>
      </c>
    </row>
    <row r="197" spans="1:13" ht="12.75" x14ac:dyDescent="0.2">
      <c r="A197" s="2" t="s">
        <v>86</v>
      </c>
      <c r="B197" s="1"/>
      <c r="C197" s="1"/>
      <c r="D197" s="16">
        <f t="shared" ref="D197:M197" si="58">D194-D195-D196</f>
        <v>84384.000742609904</v>
      </c>
      <c r="E197" s="16">
        <f t="shared" si="58"/>
        <v>105733.27643109189</v>
      </c>
      <c r="F197" s="16">
        <f t="shared" si="58"/>
        <v>127771.38293004397</v>
      </c>
      <c r="G197" s="16">
        <f t="shared" si="58"/>
        <v>150522.76483706961</v>
      </c>
      <c r="H197" s="16">
        <f t="shared" si="58"/>
        <v>174012.7902717457</v>
      </c>
      <c r="I197" s="16">
        <f t="shared" si="58"/>
        <v>198267.78705356055</v>
      </c>
      <c r="J197" s="16">
        <f t="shared" si="58"/>
        <v>223315.08032484027</v>
      </c>
      <c r="K197" s="16">
        <f t="shared" si="58"/>
        <v>249183.03167695648</v>
      </c>
      <c r="L197" s="16">
        <f t="shared" si="58"/>
        <v>275901.07984047226</v>
      </c>
      <c r="M197" s="16">
        <f t="shared" si="58"/>
        <v>303499.78300233791</v>
      </c>
    </row>
    <row r="198" spans="1:13" ht="12.75" x14ac:dyDescent="0.2">
      <c r="A198" s="2" t="s">
        <v>87</v>
      </c>
      <c r="B198" s="1"/>
      <c r="C198" s="1"/>
      <c r="D198" s="16">
        <f t="shared" ref="D198:M198" si="59">D191</f>
        <v>0</v>
      </c>
      <c r="E198" s="16">
        <f t="shared" si="59"/>
        <v>4200.3614545454584</v>
      </c>
      <c r="F198" s="16">
        <f t="shared" si="59"/>
        <v>9537.5505018181793</v>
      </c>
      <c r="G198" s="16">
        <f t="shared" si="59"/>
        <v>14910.337875490919</v>
      </c>
      <c r="H198" s="16">
        <f t="shared" si="59"/>
        <v>20319.435542091647</v>
      </c>
      <c r="I198" s="16">
        <f t="shared" si="59"/>
        <v>25765.569707478928</v>
      </c>
      <c r="J198" s="16">
        <f t="shared" si="59"/>
        <v>31249.48110162852</v>
      </c>
      <c r="K198" s="16">
        <f t="shared" si="59"/>
        <v>36771.925269115629</v>
      </c>
      <c r="L198" s="16">
        <f t="shared" si="59"/>
        <v>42333.672865407039</v>
      </c>
      <c r="M198" s="16">
        <f t="shared" si="59"/>
        <v>47935.509959078787</v>
      </c>
    </row>
    <row r="199" spans="1:13" ht="12.75" x14ac:dyDescent="0.2">
      <c r="A199" s="2" t="s">
        <v>88</v>
      </c>
      <c r="B199" s="1"/>
      <c r="C199" s="1"/>
      <c r="D199" s="16">
        <f t="shared" ref="D199:M199" si="60">D197-D198</f>
        <v>84384.000742609904</v>
      </c>
      <c r="E199" s="16">
        <f t="shared" si="60"/>
        <v>101532.91497654642</v>
      </c>
      <c r="F199" s="16">
        <f t="shared" si="60"/>
        <v>118233.83242822578</v>
      </c>
      <c r="G199" s="16">
        <f t="shared" si="60"/>
        <v>135612.42696157869</v>
      </c>
      <c r="H199" s="16">
        <f t="shared" si="60"/>
        <v>153693.35472965406</v>
      </c>
      <c r="I199" s="16">
        <f t="shared" si="60"/>
        <v>172502.21734608163</v>
      </c>
      <c r="J199" s="16">
        <f t="shared" si="60"/>
        <v>192065.59922321176</v>
      </c>
      <c r="K199" s="16">
        <f t="shared" si="60"/>
        <v>212411.10640784085</v>
      </c>
      <c r="L199" s="16">
        <f t="shared" si="60"/>
        <v>233567.40697506521</v>
      </c>
      <c r="M199" s="16">
        <f t="shared" si="60"/>
        <v>255564.27304325911</v>
      </c>
    </row>
    <row r="200" spans="1:13" ht="12.75" x14ac:dyDescent="0.2">
      <c r="A200" s="1"/>
      <c r="B200" s="1"/>
      <c r="C200" s="1"/>
      <c r="D200" s="3"/>
      <c r="E200" s="3"/>
      <c r="F200" s="3"/>
      <c r="G200" s="3"/>
      <c r="H200" s="3"/>
      <c r="I200" s="3"/>
      <c r="J200" s="3"/>
      <c r="K200" s="3"/>
      <c r="L200" s="3"/>
      <c r="M200" s="3"/>
    </row>
    <row r="201" spans="1:13" ht="12.75" hidden="1" x14ac:dyDescent="0.2">
      <c r="A201" s="1"/>
      <c r="B201" s="1"/>
      <c r="C201" s="1"/>
      <c r="D201" s="32"/>
      <c r="E201" s="32"/>
      <c r="F201" s="32"/>
      <c r="G201" s="32"/>
      <c r="H201" s="32"/>
      <c r="I201" s="32"/>
      <c r="J201" s="32"/>
      <c r="K201" s="32"/>
      <c r="L201" s="32"/>
      <c r="M201" s="32"/>
    </row>
    <row r="202" spans="1:13" ht="12.75" hidden="1" x14ac:dyDescent="0.2">
      <c r="A202" s="1"/>
      <c r="B202" s="1"/>
      <c r="C202" s="1"/>
      <c r="D202" s="33"/>
      <c r="E202" s="32"/>
      <c r="F202" s="32"/>
      <c r="G202" s="32"/>
      <c r="H202" s="32"/>
      <c r="I202" s="32"/>
      <c r="J202" s="32"/>
      <c r="K202" s="32"/>
      <c r="L202" s="32"/>
      <c r="M202" s="32"/>
    </row>
    <row r="203" spans="1:13" ht="12.75" hidden="1" x14ac:dyDescent="0.2">
      <c r="A203" s="2"/>
      <c r="B203" s="1"/>
      <c r="C203" s="1"/>
      <c r="D203" s="3"/>
      <c r="E203" s="33"/>
      <c r="F203" s="32"/>
      <c r="G203" s="32"/>
      <c r="H203" s="32"/>
      <c r="I203" s="32"/>
      <c r="J203" s="32"/>
      <c r="K203" s="32"/>
      <c r="L203" s="32"/>
      <c r="M203" s="32"/>
    </row>
    <row r="204" spans="1:13" ht="12.75" hidden="1" x14ac:dyDescent="0.2">
      <c r="A204" s="2"/>
      <c r="B204" s="1"/>
      <c r="C204" s="1"/>
      <c r="D204" s="3"/>
      <c r="E204" s="3"/>
      <c r="F204" s="33"/>
      <c r="G204" s="32"/>
      <c r="H204" s="32"/>
      <c r="I204" s="32"/>
      <c r="J204" s="32"/>
      <c r="K204" s="32"/>
      <c r="L204" s="32"/>
      <c r="M204" s="32"/>
    </row>
    <row r="205" spans="1:13" ht="12.75" hidden="1" x14ac:dyDescent="0.2">
      <c r="A205" s="2"/>
      <c r="B205" s="1"/>
      <c r="C205" s="1"/>
      <c r="D205" s="3"/>
      <c r="E205" s="3"/>
      <c r="F205" s="3"/>
      <c r="G205" s="33"/>
      <c r="H205" s="32"/>
      <c r="I205" s="32"/>
      <c r="J205" s="32"/>
      <c r="K205" s="32"/>
      <c r="L205" s="32"/>
      <c r="M205" s="32"/>
    </row>
    <row r="206" spans="1:13" ht="12.75" hidden="1" x14ac:dyDescent="0.2">
      <c r="A206" s="2"/>
      <c r="B206" s="1"/>
      <c r="C206" s="1"/>
      <c r="D206" s="3"/>
      <c r="E206" s="3"/>
      <c r="F206" s="3"/>
      <c r="G206" s="3"/>
      <c r="H206" s="33"/>
      <c r="I206" s="32"/>
      <c r="J206" s="32"/>
      <c r="K206" s="32"/>
      <c r="L206" s="32"/>
      <c r="M206" s="32"/>
    </row>
    <row r="207" spans="1:13" ht="12.75" hidden="1" x14ac:dyDescent="0.2">
      <c r="A207" s="1"/>
      <c r="B207" s="1"/>
      <c r="C207" s="1"/>
      <c r="D207" s="3"/>
      <c r="E207" s="3"/>
      <c r="F207" s="3"/>
      <c r="G207" s="3"/>
      <c r="H207" s="3"/>
      <c r="I207" s="33"/>
      <c r="J207" s="32"/>
      <c r="K207" s="32"/>
      <c r="L207" s="32"/>
      <c r="M207" s="32"/>
    </row>
    <row r="208" spans="1:13" ht="12.75" hidden="1" x14ac:dyDescent="0.2">
      <c r="A208" s="1"/>
      <c r="B208" s="1"/>
      <c r="C208" s="1"/>
      <c r="D208" s="3"/>
      <c r="E208" s="3"/>
      <c r="F208" s="3"/>
      <c r="G208" s="3"/>
      <c r="H208" s="3"/>
      <c r="I208" s="3"/>
      <c r="J208" s="33"/>
      <c r="K208" s="32"/>
      <c r="L208" s="32"/>
      <c r="M208" s="32"/>
    </row>
    <row r="209" spans="1:13" ht="12.75" hidden="1" x14ac:dyDescent="0.2">
      <c r="A209" s="1"/>
      <c r="B209" s="1"/>
      <c r="C209" s="1"/>
      <c r="D209" s="3"/>
      <c r="E209" s="3"/>
      <c r="F209" s="3"/>
      <c r="G209" s="3"/>
      <c r="H209" s="3"/>
      <c r="I209" s="3"/>
      <c r="J209" s="3"/>
      <c r="K209" s="33"/>
      <c r="L209" s="32"/>
      <c r="M209" s="32"/>
    </row>
    <row r="210" spans="1:13" ht="12.75" hidden="1" x14ac:dyDescent="0.2">
      <c r="A210" s="1"/>
      <c r="B210" s="1"/>
      <c r="C210" s="1"/>
      <c r="D210" s="3"/>
      <c r="E210" s="3"/>
      <c r="F210" s="3"/>
      <c r="G210" s="3"/>
      <c r="H210" s="3"/>
      <c r="I210" s="3"/>
      <c r="J210" s="3"/>
      <c r="K210" s="3"/>
      <c r="L210" s="33"/>
      <c r="M210" s="32"/>
    </row>
    <row r="211" spans="1:13" ht="12.75" hidden="1" x14ac:dyDescent="0.2">
      <c r="A211" s="1"/>
      <c r="B211" s="1"/>
      <c r="C211" s="1"/>
      <c r="D211" s="3"/>
      <c r="E211" s="3"/>
      <c r="F211" s="3"/>
      <c r="G211" s="3"/>
      <c r="H211" s="3"/>
      <c r="I211" s="3"/>
      <c r="J211" s="3"/>
      <c r="K211" s="3"/>
      <c r="L211" s="3"/>
      <c r="M211" s="33"/>
    </row>
    <row r="212" spans="1:13" ht="12.75" x14ac:dyDescent="0.2">
      <c r="A212" s="1" t="s">
        <v>174</v>
      </c>
      <c r="B212" s="1"/>
      <c r="C212" s="1"/>
      <c r="D212" s="3"/>
      <c r="E212" s="3"/>
      <c r="F212" s="3"/>
      <c r="G212" s="3"/>
      <c r="H212" s="3"/>
      <c r="I212" s="3"/>
      <c r="J212" s="3"/>
      <c r="K212" s="3"/>
      <c r="L212" s="3"/>
      <c r="M212" s="3"/>
    </row>
    <row r="213" spans="1:13" ht="12.75" x14ac:dyDescent="0.2">
      <c r="A213" s="1"/>
      <c r="B213" s="1"/>
      <c r="C213" s="1"/>
      <c r="D213" s="3"/>
      <c r="E213" s="3"/>
      <c r="F213" s="2" t="s">
        <v>109</v>
      </c>
      <c r="G213" s="3"/>
      <c r="H213" s="3"/>
      <c r="I213" s="3"/>
      <c r="J213" s="3"/>
      <c r="K213" s="3"/>
      <c r="L213" s="3"/>
      <c r="M213" s="3"/>
    </row>
    <row r="214" spans="1:13" ht="12.75" x14ac:dyDescent="0.2">
      <c r="A214" s="1"/>
      <c r="B214" s="1"/>
      <c r="C214" s="1"/>
      <c r="D214" s="3"/>
      <c r="E214" s="3"/>
      <c r="F214" s="3"/>
      <c r="G214" s="3"/>
      <c r="H214" s="3"/>
      <c r="I214" s="3"/>
      <c r="J214" s="3"/>
      <c r="K214" s="3"/>
      <c r="L214" s="3"/>
      <c r="M214" s="3"/>
    </row>
    <row r="215" spans="1:13" ht="12.75" x14ac:dyDescent="0.2">
      <c r="A215" s="2"/>
      <c r="B215" s="1"/>
      <c r="C215" s="1"/>
      <c r="D215" s="31" t="s">
        <v>142</v>
      </c>
      <c r="E215" s="31" t="s">
        <v>117</v>
      </c>
      <c r="F215" s="31" t="s">
        <v>118</v>
      </c>
      <c r="G215" s="31" t="s">
        <v>119</v>
      </c>
      <c r="H215" s="31" t="s">
        <v>120</v>
      </c>
      <c r="I215" s="31" t="s">
        <v>121</v>
      </c>
      <c r="J215" s="31" t="s">
        <v>122</v>
      </c>
      <c r="K215" s="31" t="s">
        <v>123</v>
      </c>
      <c r="L215" s="31" t="s">
        <v>124</v>
      </c>
      <c r="M215" s="31" t="s">
        <v>125</v>
      </c>
    </row>
    <row r="216" spans="1:13" ht="12.75" x14ac:dyDescent="0.2">
      <c r="A216" s="1"/>
      <c r="B216" s="1"/>
      <c r="C216" s="1"/>
      <c r="D216" s="3"/>
      <c r="E216" s="3"/>
      <c r="F216" s="3"/>
      <c r="G216" s="3"/>
      <c r="H216" s="3"/>
      <c r="I216" s="3"/>
      <c r="J216" s="3"/>
      <c r="K216" s="3"/>
      <c r="L216" s="3"/>
      <c r="M216" s="3"/>
    </row>
    <row r="217" spans="1:13" ht="12.75" x14ac:dyDescent="0.2">
      <c r="A217" s="2" t="s">
        <v>50</v>
      </c>
      <c r="B217" s="1"/>
      <c r="C217" s="1"/>
      <c r="D217" s="16">
        <f t="shared" ref="D217:M217" si="61">D92</f>
        <v>37760.012000000002</v>
      </c>
      <c r="E217" s="16">
        <f t="shared" si="61"/>
        <v>38515.212240000015</v>
      </c>
      <c r="F217" s="16">
        <f t="shared" si="61"/>
        <v>39285.516484800006</v>
      </c>
      <c r="G217" s="16">
        <f t="shared" si="61"/>
        <v>40071.226814496011</v>
      </c>
      <c r="H217" s="16">
        <f t="shared" si="61"/>
        <v>40872.65135078592</v>
      </c>
      <c r="I217" s="16">
        <f t="shared" si="61"/>
        <v>41690.104377801654</v>
      </c>
      <c r="J217" s="16">
        <f t="shared" si="61"/>
        <v>42523.906465357679</v>
      </c>
      <c r="K217" s="16">
        <f t="shared" si="61"/>
        <v>43374.384594664843</v>
      </c>
      <c r="L217" s="16">
        <f t="shared" si="61"/>
        <v>44241.872286558144</v>
      </c>
      <c r="M217" s="16">
        <f t="shared" si="61"/>
        <v>45126.709732289302</v>
      </c>
    </row>
    <row r="218" spans="1:13" ht="12.75" x14ac:dyDescent="0.2">
      <c r="A218" s="2" t="s">
        <v>89</v>
      </c>
      <c r="B218" s="1"/>
      <c r="C218" s="1"/>
      <c r="D218" s="16">
        <f t="shared" ref="D218:M218" si="62">D99</f>
        <v>26469.22078379861</v>
      </c>
      <c r="E218" s="16">
        <f t="shared" si="62"/>
        <v>26469.22078379861</v>
      </c>
      <c r="F218" s="16">
        <f t="shared" si="62"/>
        <v>26469.22078379861</v>
      </c>
      <c r="G218" s="16">
        <f t="shared" si="62"/>
        <v>26469.22078379861</v>
      </c>
      <c r="H218" s="16">
        <f t="shared" si="62"/>
        <v>26469.22078379861</v>
      </c>
      <c r="I218" s="16">
        <f t="shared" si="62"/>
        <v>26469.22078379861</v>
      </c>
      <c r="J218" s="16">
        <f t="shared" si="62"/>
        <v>26469.22078379861</v>
      </c>
      <c r="K218" s="16">
        <f t="shared" si="62"/>
        <v>26469.22078379861</v>
      </c>
      <c r="L218" s="16">
        <f t="shared" si="62"/>
        <v>26469.22078379861</v>
      </c>
      <c r="M218" s="16">
        <f t="shared" si="62"/>
        <v>26469.22078379861</v>
      </c>
    </row>
    <row r="219" spans="1:13" ht="12.75" x14ac:dyDescent="0.2">
      <c r="A219" s="2" t="s">
        <v>110</v>
      </c>
      <c r="B219" s="1"/>
      <c r="C219" s="1"/>
      <c r="D219" s="20">
        <f t="shared" ref="D219:M219" si="63">D217/D218</f>
        <v>1.426563037439784</v>
      </c>
      <c r="E219" s="20">
        <f t="shared" si="63"/>
        <v>1.4550942981885802</v>
      </c>
      <c r="F219" s="20">
        <f t="shared" si="63"/>
        <v>1.4841961841523512</v>
      </c>
      <c r="G219" s="20">
        <f t="shared" si="63"/>
        <v>1.5138801078353985</v>
      </c>
      <c r="H219" s="20">
        <f t="shared" si="63"/>
        <v>1.544157709992106</v>
      </c>
      <c r="I219" s="20">
        <f t="shared" si="63"/>
        <v>1.5750408641919487</v>
      </c>
      <c r="J219" s="20">
        <f t="shared" si="63"/>
        <v>1.6065416814757874</v>
      </c>
      <c r="K219" s="20">
        <f t="shared" si="63"/>
        <v>1.6386725151053037</v>
      </c>
      <c r="L219" s="20">
        <f t="shared" si="63"/>
        <v>1.6714459654074099</v>
      </c>
      <c r="M219" s="20">
        <f t="shared" si="63"/>
        <v>1.7048748847155579</v>
      </c>
    </row>
    <row r="220" spans="1:13" ht="12.75" x14ac:dyDescent="0.2">
      <c r="A220" s="1"/>
      <c r="B220" s="1"/>
      <c r="C220" s="1"/>
      <c r="D220" s="3"/>
      <c r="E220" s="3"/>
      <c r="F220" s="3"/>
      <c r="G220" s="3"/>
      <c r="H220" s="3"/>
      <c r="I220" s="3"/>
      <c r="J220" s="3"/>
      <c r="K220" s="3"/>
      <c r="L220" s="3"/>
      <c r="M220" s="3"/>
    </row>
    <row r="221" spans="1:13" ht="12.75" x14ac:dyDescent="0.2">
      <c r="A221" s="1"/>
      <c r="B221" s="1"/>
      <c r="C221" s="1"/>
      <c r="D221" s="3"/>
      <c r="E221" s="4"/>
      <c r="F221" s="3"/>
      <c r="G221" s="3"/>
      <c r="H221" s="3"/>
      <c r="I221" s="3"/>
      <c r="J221" s="3"/>
      <c r="K221" s="3"/>
      <c r="L221" s="4" t="s">
        <v>183</v>
      </c>
      <c r="M221" s="3"/>
    </row>
    <row r="222" spans="1:13" ht="12.75" x14ac:dyDescent="0.2">
      <c r="A222" s="2" t="s">
        <v>91</v>
      </c>
      <c r="B222" s="1"/>
      <c r="C222" s="2"/>
      <c r="D222" s="3"/>
      <c r="E222" s="3"/>
      <c r="F222" s="3"/>
      <c r="G222" s="3"/>
      <c r="H222" s="3"/>
      <c r="I222" s="3"/>
      <c r="J222" s="3"/>
      <c r="K222" s="3"/>
      <c r="L222" s="3"/>
      <c r="M222" s="3"/>
    </row>
    <row r="223" spans="1:13" ht="12.75" x14ac:dyDescent="0.2">
      <c r="A223" s="2" t="s">
        <v>92</v>
      </c>
      <c r="B223" s="1"/>
      <c r="C223" s="2" t="s">
        <v>108</v>
      </c>
      <c r="D223" s="3"/>
      <c r="E223" s="3"/>
      <c r="F223" s="3"/>
      <c r="G223" s="3"/>
      <c r="H223" s="4" t="s">
        <v>90</v>
      </c>
      <c r="I223" s="11">
        <f ca="1">TRUNC(NOW())</f>
        <v>45050</v>
      </c>
      <c r="J223" s="3"/>
      <c r="K223" s="3"/>
      <c r="L223" s="3"/>
      <c r="M223" s="3"/>
    </row>
    <row r="224" spans="1:13" ht="12.75" x14ac:dyDescent="0.2">
      <c r="A224" s="2" t="s">
        <v>0</v>
      </c>
      <c r="B224" s="1"/>
      <c r="C224" s="12">
        <f>E13</f>
        <v>0</v>
      </c>
      <c r="D224" s="3"/>
      <c r="E224" s="3"/>
      <c r="F224" s="3"/>
      <c r="G224" s="3"/>
      <c r="H224" s="3"/>
      <c r="I224" s="3"/>
      <c r="J224" s="3"/>
      <c r="K224" s="3"/>
      <c r="L224" s="3"/>
      <c r="M224" s="3"/>
    </row>
    <row r="225" spans="1:13" x14ac:dyDescent="0.15">
      <c r="D225" s="28"/>
      <c r="F225" s="28"/>
      <c r="G225" s="28"/>
      <c r="H225" s="28"/>
      <c r="I225" s="28"/>
      <c r="J225" s="28"/>
      <c r="K225" s="28"/>
      <c r="L225" s="28"/>
      <c r="M225" s="28"/>
    </row>
    <row r="226" spans="1:13" x14ac:dyDescent="0.15">
      <c r="A226" s="34" t="s">
        <v>94</v>
      </c>
    </row>
    <row r="227" spans="1:13" x14ac:dyDescent="0.15">
      <c r="A227" s="34" t="s">
        <v>93</v>
      </c>
    </row>
    <row r="229" spans="1:13" ht="12.75" x14ac:dyDescent="0.2">
      <c r="A229" s="1" t="s">
        <v>154</v>
      </c>
      <c r="C229" s="1"/>
      <c r="D229" s="1"/>
      <c r="E229" s="3"/>
      <c r="F229" s="2"/>
      <c r="G229" s="1"/>
      <c r="H229" s="1"/>
      <c r="I229" s="1"/>
      <c r="J229" s="1"/>
    </row>
    <row r="230" spans="1:13" ht="12.75" x14ac:dyDescent="0.2">
      <c r="A230" s="1" t="s">
        <v>155</v>
      </c>
      <c r="B230" s="1"/>
      <c r="C230" s="1"/>
      <c r="D230" s="1"/>
      <c r="E230" s="3"/>
      <c r="F230" s="2"/>
      <c r="G230" s="1"/>
      <c r="H230" s="1"/>
      <c r="I230" s="1"/>
      <c r="J230" s="1"/>
    </row>
    <row r="232" spans="1:13" x14ac:dyDescent="0.15">
      <c r="C232" s="35" t="s">
        <v>158</v>
      </c>
    </row>
    <row r="233" spans="1:13" x14ac:dyDescent="0.15">
      <c r="A233" s="23" t="s">
        <v>159</v>
      </c>
    </row>
    <row r="234" spans="1:13" x14ac:dyDescent="0.15">
      <c r="A234" s="23" t="s">
        <v>160</v>
      </c>
    </row>
    <row r="258" spans="1:13" x14ac:dyDescent="0.15">
      <c r="A258" s="23" t="s">
        <v>166</v>
      </c>
    </row>
    <row r="259" spans="1:13" x14ac:dyDescent="0.15">
      <c r="A259" s="36"/>
      <c r="B259" s="36"/>
      <c r="C259" s="36"/>
      <c r="D259" s="36"/>
      <c r="E259" s="37"/>
      <c r="F259" s="36"/>
      <c r="G259" s="36"/>
      <c r="H259" s="36"/>
      <c r="I259" s="36"/>
      <c r="J259" s="36"/>
      <c r="K259" s="36"/>
      <c r="L259" s="36"/>
      <c r="M259" s="36"/>
    </row>
  </sheetData>
  <hyperlinks>
    <hyperlink ref="D10" r:id="rId1" display="http://www.mortgage-investments.com/"/>
    <hyperlink ref="C232" r:id="rId2" display="http://www.mortgage-investments.com/"/>
    <hyperlink ref="A7" r:id="rId3" display="http://www.mortgage-investments.com/"/>
  </hyperlinks>
  <pageMargins left="0.7" right="0.7" top="0.75" bottom="0.75" header="0.3" footer="0.3"/>
  <pageSetup scale="64" fitToHeight="8" orientation="portrait" horizontalDpi="4294967294" r:id="rId4"/>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52"/>
  <sheetViews>
    <sheetView workbookViewId="0">
      <selection activeCell="K24" sqref="K24"/>
    </sheetView>
  </sheetViews>
  <sheetFormatPr defaultColWidth="10" defaultRowHeight="12" x14ac:dyDescent="0.15"/>
  <cols>
    <col min="1" max="2" width="7.75" style="23" customWidth="1"/>
    <col min="3" max="3" width="11.125" style="23" customWidth="1"/>
    <col min="4" max="4" width="8.25" style="23" customWidth="1"/>
    <col min="5" max="5" width="7.625" style="28" customWidth="1"/>
    <col min="6" max="6" width="8.875" style="23" customWidth="1"/>
    <col min="7" max="7" width="8.125" style="23" customWidth="1"/>
    <col min="8" max="8" width="8.5" style="23" customWidth="1"/>
    <col min="9" max="9" width="8.375" style="23" customWidth="1"/>
    <col min="10" max="10" width="8.25" style="23" customWidth="1"/>
    <col min="11" max="11" width="8.75" style="23" customWidth="1"/>
    <col min="12" max="12" width="10.875" style="23" customWidth="1"/>
    <col min="13" max="13" width="9.5" style="23" customWidth="1"/>
    <col min="14" max="16384" width="10" style="23"/>
  </cols>
  <sheetData>
    <row r="1" spans="1:13" ht="12.75" x14ac:dyDescent="0.2">
      <c r="A1" s="1"/>
      <c r="B1" s="1"/>
      <c r="C1" s="1"/>
      <c r="D1" s="1"/>
      <c r="E1" s="3"/>
      <c r="F1" s="1"/>
      <c r="G1" s="1"/>
      <c r="H1" s="1"/>
      <c r="I1" s="1"/>
      <c r="J1" s="1"/>
      <c r="K1" s="1"/>
      <c r="L1" s="1"/>
      <c r="M1" s="1"/>
    </row>
    <row r="2" spans="1:13" ht="12.75" x14ac:dyDescent="0.2">
      <c r="A2" s="1"/>
      <c r="B2" s="1"/>
      <c r="C2" s="1"/>
      <c r="D2" s="1"/>
      <c r="E2" s="2" t="s">
        <v>99</v>
      </c>
      <c r="F2" s="1"/>
      <c r="G2" s="1"/>
      <c r="H2" s="1"/>
      <c r="I2" s="1"/>
      <c r="J2" s="1"/>
      <c r="K2" s="1"/>
      <c r="L2" s="2" t="s">
        <v>181</v>
      </c>
      <c r="M2" s="1"/>
    </row>
    <row r="3" spans="1:13" ht="12.75" x14ac:dyDescent="0.2">
      <c r="A3" s="1"/>
      <c r="B3" s="1"/>
      <c r="C3" s="1"/>
      <c r="D3" s="1"/>
      <c r="E3" s="4"/>
      <c r="F3" s="1"/>
      <c r="G3" s="1"/>
      <c r="H3" s="1"/>
      <c r="I3" s="1"/>
      <c r="J3" s="1"/>
      <c r="K3" s="1"/>
      <c r="L3" s="2"/>
      <c r="M3" s="1"/>
    </row>
    <row r="4" spans="1:13" s="95" customFormat="1" ht="11.25" customHeight="1" x14ac:dyDescent="0.2">
      <c r="A4" s="40" t="s">
        <v>233</v>
      </c>
      <c r="B4" s="40"/>
      <c r="C4" s="40"/>
      <c r="D4" s="92"/>
      <c r="E4" s="93"/>
      <c r="F4" s="40"/>
      <c r="G4" s="40"/>
      <c r="H4" s="40"/>
      <c r="I4" s="40"/>
      <c r="J4" s="40"/>
      <c r="K4" s="40"/>
      <c r="L4" s="94"/>
      <c r="M4" s="40"/>
    </row>
    <row r="8" spans="1:13" x14ac:dyDescent="0.15">
      <c r="A8" s="23" t="s">
        <v>177</v>
      </c>
    </row>
    <row r="9" spans="1:13" x14ac:dyDescent="0.15">
      <c r="A9" s="23" t="s">
        <v>178</v>
      </c>
    </row>
    <row r="10" spans="1:13" ht="12.75" x14ac:dyDescent="0.2">
      <c r="A10" s="1"/>
      <c r="B10" s="1"/>
      <c r="C10" s="1"/>
      <c r="D10" s="1"/>
      <c r="E10" s="3"/>
      <c r="F10" s="1"/>
      <c r="G10" s="1"/>
      <c r="H10" s="1"/>
      <c r="I10" s="1"/>
      <c r="J10" s="1"/>
      <c r="K10" s="1"/>
      <c r="L10" s="1"/>
      <c r="M10" s="1"/>
    </row>
    <row r="11" spans="1:13" ht="12.75" x14ac:dyDescent="0.2">
      <c r="A11" s="1"/>
      <c r="B11" s="1"/>
      <c r="C11" s="1"/>
      <c r="D11" s="1"/>
      <c r="E11" s="2" t="s">
        <v>1</v>
      </c>
      <c r="F11" s="1"/>
      <c r="G11" s="1"/>
      <c r="H11" s="5">
        <v>485000</v>
      </c>
      <c r="I11" s="1"/>
      <c r="J11" s="1"/>
      <c r="K11" s="1"/>
      <c r="L11" s="1"/>
      <c r="M11" s="1"/>
    </row>
    <row r="12" spans="1:13" ht="12.75" x14ac:dyDescent="0.2">
      <c r="A12" s="1"/>
      <c r="B12" s="1" t="s">
        <v>186</v>
      </c>
      <c r="C12" s="39">
        <f>D93/H12</f>
        <v>6.1688823379578005E-2</v>
      </c>
      <c r="D12" s="1"/>
      <c r="E12" s="2" t="s">
        <v>2</v>
      </c>
      <c r="F12" s="1"/>
      <c r="G12" s="1"/>
      <c r="H12" s="10">
        <f>H11*20%</f>
        <v>97000</v>
      </c>
      <c r="I12" s="40"/>
      <c r="J12" s="38"/>
      <c r="K12" s="38"/>
      <c r="L12" s="1"/>
      <c r="M12" s="1"/>
    </row>
    <row r="13" spans="1:13" ht="12.75" x14ac:dyDescent="0.2">
      <c r="A13" s="1"/>
      <c r="B13" s="1" t="s">
        <v>187</v>
      </c>
      <c r="C13" s="38">
        <f>D93</f>
        <v>5983.8158678190666</v>
      </c>
      <c r="D13" s="1"/>
      <c r="E13" s="2" t="s">
        <v>3</v>
      </c>
      <c r="F13" s="1"/>
      <c r="G13" s="1"/>
      <c r="H13" s="6">
        <v>4</v>
      </c>
      <c r="I13" s="2" t="s">
        <v>115</v>
      </c>
      <c r="J13" s="1"/>
      <c r="K13" s="1"/>
      <c r="L13" s="1"/>
      <c r="M13" s="1"/>
    </row>
    <row r="14" spans="1:13" ht="12.75" x14ac:dyDescent="0.2">
      <c r="A14" s="1"/>
      <c r="B14" s="1" t="s">
        <v>223</v>
      </c>
      <c r="C14" s="84">
        <f>D85/H11</f>
        <v>7.0511876288659792E-2</v>
      </c>
      <c r="D14" s="1"/>
      <c r="E14" s="2" t="s">
        <v>5</v>
      </c>
      <c r="F14" s="1"/>
      <c r="G14" s="1"/>
      <c r="H14" s="7">
        <v>20</v>
      </c>
      <c r="I14" s="2" t="s">
        <v>6</v>
      </c>
      <c r="J14" s="1"/>
      <c r="K14" s="1"/>
      <c r="L14" s="1"/>
      <c r="M14" s="1"/>
    </row>
    <row r="15" spans="1:13" ht="12.75" x14ac:dyDescent="0.2">
      <c r="A15" s="1"/>
      <c r="B15" s="1" t="s">
        <v>188</v>
      </c>
      <c r="C15" s="39">
        <f>D142</f>
        <v>0.28648871717272723</v>
      </c>
      <c r="D15" s="1"/>
      <c r="E15" s="2" t="s">
        <v>7</v>
      </c>
      <c r="F15" s="1"/>
      <c r="G15" s="1"/>
      <c r="H15" s="7">
        <v>85</v>
      </c>
      <c r="I15" s="2" t="s">
        <v>4</v>
      </c>
      <c r="J15" s="1" t="s">
        <v>157</v>
      </c>
      <c r="K15" s="1"/>
      <c r="L15" s="1"/>
      <c r="M15" s="1"/>
    </row>
    <row r="16" spans="1:13" ht="12.75" x14ac:dyDescent="0.2">
      <c r="A16" s="1"/>
      <c r="B16" s="1" t="s">
        <v>224</v>
      </c>
      <c r="C16" s="38">
        <f>D74</f>
        <v>5627.04</v>
      </c>
      <c r="D16" s="1"/>
      <c r="E16" s="2" t="s">
        <v>8</v>
      </c>
      <c r="F16" s="1"/>
      <c r="G16" s="1"/>
      <c r="H16" s="7">
        <v>27.5</v>
      </c>
      <c r="I16" s="2" t="s">
        <v>169</v>
      </c>
      <c r="J16" s="1"/>
      <c r="L16" s="1" t="s">
        <v>168</v>
      </c>
      <c r="M16" s="1"/>
    </row>
    <row r="17" spans="1:13" ht="12.75" x14ac:dyDescent="0.2">
      <c r="A17" s="1"/>
      <c r="B17" s="1"/>
      <c r="C17" s="1"/>
      <c r="D17" s="1"/>
      <c r="E17" s="2" t="s">
        <v>97</v>
      </c>
      <c r="F17" s="1"/>
      <c r="G17" s="1"/>
      <c r="H17" s="5">
        <f>C27</f>
        <v>74040</v>
      </c>
      <c r="I17" s="1"/>
      <c r="J17" s="1"/>
      <c r="K17" s="1"/>
      <c r="L17" s="1"/>
      <c r="M17" s="1"/>
    </row>
    <row r="18" spans="1:13" ht="12.75" x14ac:dyDescent="0.2">
      <c r="A18" s="1"/>
      <c r="B18" s="1"/>
      <c r="C18" s="1" t="s">
        <v>196</v>
      </c>
      <c r="D18" s="1" t="s">
        <v>227</v>
      </c>
      <c r="E18" s="2" t="s">
        <v>130</v>
      </c>
      <c r="F18" s="1"/>
      <c r="G18" s="1"/>
      <c r="H18" s="6">
        <v>5</v>
      </c>
      <c r="I18" s="2" t="s">
        <v>4</v>
      </c>
      <c r="J18" s="1"/>
      <c r="K18" s="1"/>
      <c r="L18" s="1"/>
      <c r="M18" s="1"/>
    </row>
    <row r="19" spans="1:13" ht="12.75" x14ac:dyDescent="0.2">
      <c r="A19" s="1">
        <v>1</v>
      </c>
      <c r="B19" s="1" t="s">
        <v>193</v>
      </c>
      <c r="C19" s="1">
        <v>785</v>
      </c>
      <c r="D19" s="1"/>
      <c r="E19" s="2" t="s">
        <v>96</v>
      </c>
      <c r="F19" s="1"/>
      <c r="G19" s="1"/>
      <c r="H19" s="4" t="s">
        <v>100</v>
      </c>
      <c r="I19" s="1"/>
      <c r="J19" s="1"/>
      <c r="K19" s="1"/>
      <c r="L19" s="1"/>
      <c r="M19" s="1"/>
    </row>
    <row r="20" spans="1:13" ht="15" x14ac:dyDescent="0.25">
      <c r="A20" s="1">
        <v>2</v>
      </c>
      <c r="B20" s="1" t="s">
        <v>194</v>
      </c>
      <c r="C20" s="1">
        <v>1400</v>
      </c>
      <c r="D20" s="1"/>
      <c r="E20" s="2" t="s">
        <v>95</v>
      </c>
      <c r="F20" s="1"/>
      <c r="G20" s="1"/>
      <c r="H20" s="68">
        <v>4473</v>
      </c>
      <c r="I20" s="1"/>
      <c r="J20" s="1"/>
      <c r="K20" s="1"/>
      <c r="L20" s="1"/>
      <c r="M20" s="1"/>
    </row>
    <row r="21" spans="1:13" ht="12.75" x14ac:dyDescent="0.2">
      <c r="A21" s="1">
        <v>3</v>
      </c>
      <c r="B21" s="1" t="s">
        <v>193</v>
      </c>
      <c r="C21" s="1">
        <v>765</v>
      </c>
      <c r="D21" s="1"/>
      <c r="E21" s="2" t="s">
        <v>9</v>
      </c>
      <c r="F21" s="1"/>
      <c r="G21" s="1"/>
      <c r="H21" s="69">
        <v>2559</v>
      </c>
      <c r="I21" s="1"/>
      <c r="J21" s="1"/>
      <c r="K21" s="1"/>
      <c r="L21" s="1"/>
      <c r="M21" s="1"/>
    </row>
    <row r="22" spans="1:13" ht="15" x14ac:dyDescent="0.25">
      <c r="A22" s="1">
        <v>4</v>
      </c>
      <c r="B22" s="1" t="s">
        <v>194</v>
      </c>
      <c r="C22" s="1">
        <v>1315</v>
      </c>
      <c r="D22" s="1"/>
      <c r="E22" s="2" t="s">
        <v>10</v>
      </c>
      <c r="F22" s="1"/>
      <c r="G22" s="1"/>
      <c r="H22" s="68">
        <v>300</v>
      </c>
      <c r="I22" s="1"/>
      <c r="J22" s="1"/>
      <c r="K22" s="1"/>
      <c r="L22" s="1"/>
      <c r="M22" s="1"/>
    </row>
    <row r="23" spans="1:13" ht="12.75" x14ac:dyDescent="0.2">
      <c r="A23" s="1">
        <v>5</v>
      </c>
      <c r="B23" s="1" t="s">
        <v>195</v>
      </c>
      <c r="C23" s="1">
        <v>660</v>
      </c>
      <c r="D23" s="1"/>
      <c r="E23" s="2" t="s">
        <v>11</v>
      </c>
      <c r="F23" s="1"/>
      <c r="G23" s="1"/>
      <c r="H23" s="69">
        <v>0</v>
      </c>
      <c r="I23" s="1"/>
      <c r="J23" s="1"/>
      <c r="K23" s="1"/>
      <c r="L23" s="1"/>
      <c r="M23" s="1"/>
    </row>
    <row r="24" spans="1:13" ht="15" x14ac:dyDescent="0.25">
      <c r="A24" s="1">
        <v>6</v>
      </c>
      <c r="B24" s="1" t="s">
        <v>195</v>
      </c>
      <c r="C24" s="1">
        <v>680</v>
      </c>
      <c r="D24" s="1"/>
      <c r="E24" s="2" t="s">
        <v>12</v>
      </c>
      <c r="F24" s="1"/>
      <c r="G24" s="1"/>
      <c r="H24" s="68">
        <f>I24*J24</f>
        <v>10080</v>
      </c>
      <c r="I24" s="1">
        <v>2400</v>
      </c>
      <c r="J24" s="1">
        <v>4.2</v>
      </c>
      <c r="K24" s="1" t="s">
        <v>243</v>
      </c>
      <c r="L24" s="1"/>
      <c r="M24" s="1"/>
    </row>
    <row r="25" spans="1:13" ht="12.75" x14ac:dyDescent="0.2">
      <c r="A25" s="1">
        <v>7</v>
      </c>
      <c r="B25" s="1" t="s">
        <v>193</v>
      </c>
      <c r="C25" s="1">
        <v>565</v>
      </c>
      <c r="D25" s="1"/>
      <c r="E25" s="2" t="s">
        <v>13</v>
      </c>
      <c r="F25" s="1"/>
      <c r="G25" s="1"/>
      <c r="H25" s="69">
        <v>1900</v>
      </c>
      <c r="I25" s="1"/>
      <c r="J25" s="1"/>
      <c r="K25" s="1"/>
      <c r="L25" s="1"/>
      <c r="M25" s="1"/>
    </row>
    <row r="26" spans="1:13" ht="12.75" x14ac:dyDescent="0.2">
      <c r="A26" s="1"/>
      <c r="B26" s="1"/>
      <c r="C26" s="1">
        <f>SUM(C19:C25)</f>
        <v>6170</v>
      </c>
      <c r="D26" s="1"/>
      <c r="E26" s="2" t="s">
        <v>113</v>
      </c>
      <c r="F26" s="1"/>
      <c r="G26" s="1"/>
      <c r="H26" s="69">
        <v>650</v>
      </c>
      <c r="I26" s="1"/>
      <c r="J26" s="1"/>
      <c r="K26" s="1"/>
      <c r="L26" s="1"/>
      <c r="M26" s="1"/>
    </row>
    <row r="27" spans="1:13" ht="12.75" x14ac:dyDescent="0.2">
      <c r="A27" s="1"/>
      <c r="B27" s="1"/>
      <c r="C27" s="1">
        <f>C26*12</f>
        <v>74040</v>
      </c>
      <c r="D27" s="1"/>
      <c r="E27" s="2" t="s">
        <v>14</v>
      </c>
      <c r="F27" s="1"/>
      <c r="G27" s="1"/>
      <c r="H27" s="70">
        <v>8</v>
      </c>
      <c r="I27" s="79" t="s">
        <v>210</v>
      </c>
      <c r="J27" s="1"/>
      <c r="K27" s="1"/>
      <c r="L27" s="1"/>
      <c r="M27" s="1"/>
    </row>
    <row r="28" spans="1:13" ht="12.75" x14ac:dyDescent="0.2">
      <c r="A28" s="1"/>
      <c r="B28" s="1"/>
      <c r="C28" s="1"/>
      <c r="D28" s="1"/>
      <c r="E28" s="2" t="s">
        <v>234</v>
      </c>
      <c r="F28" s="1"/>
      <c r="G28" s="1"/>
      <c r="H28" s="70">
        <v>15</v>
      </c>
      <c r="I28" s="2" t="s">
        <v>114</v>
      </c>
      <c r="J28" s="1" t="s">
        <v>226</v>
      </c>
      <c r="K28" s="1" t="s">
        <v>192</v>
      </c>
      <c r="L28" s="1"/>
      <c r="M28" s="1"/>
    </row>
    <row r="29" spans="1:13" ht="12.75" x14ac:dyDescent="0.2">
      <c r="A29" s="40"/>
      <c r="B29" s="40"/>
      <c r="C29" s="40"/>
      <c r="D29" s="40"/>
      <c r="E29" s="2" t="s">
        <v>15</v>
      </c>
      <c r="F29" s="1"/>
      <c r="G29" s="1"/>
      <c r="H29" s="69">
        <v>0</v>
      </c>
      <c r="I29" s="1"/>
      <c r="J29" s="1"/>
      <c r="K29" s="1"/>
      <c r="L29" s="1"/>
      <c r="M29" s="1"/>
    </row>
    <row r="30" spans="1:13" ht="12.75" x14ac:dyDescent="0.2">
      <c r="A30" s="1"/>
      <c r="B30" s="1"/>
      <c r="C30" s="1"/>
      <c r="D30" s="1"/>
      <c r="E30" s="2" t="s">
        <v>16</v>
      </c>
      <c r="F30" s="1"/>
      <c r="G30" s="1"/>
      <c r="H30" s="69">
        <v>0</v>
      </c>
      <c r="I30" s="1"/>
      <c r="J30" s="1"/>
      <c r="K30" s="1"/>
      <c r="L30" s="1"/>
      <c r="M30" s="1"/>
    </row>
    <row r="31" spans="1:13" ht="15" x14ac:dyDescent="0.25">
      <c r="A31" s="1"/>
      <c r="B31" s="1"/>
      <c r="C31" s="1"/>
      <c r="D31" s="1"/>
      <c r="E31" s="2" t="s">
        <v>189</v>
      </c>
      <c r="F31" s="1"/>
      <c r="G31" s="1"/>
      <c r="H31" s="68">
        <v>0</v>
      </c>
      <c r="I31" s="1"/>
      <c r="J31" s="1"/>
      <c r="K31" s="1"/>
      <c r="L31" s="1"/>
      <c r="M31" s="1"/>
    </row>
    <row r="32" spans="1:13" ht="12.75" x14ac:dyDescent="0.2">
      <c r="A32" s="1"/>
      <c r="B32" s="1"/>
      <c r="C32" s="1"/>
      <c r="D32" s="1"/>
      <c r="E32" s="2" t="s">
        <v>17</v>
      </c>
      <c r="F32" s="1"/>
      <c r="G32" s="1"/>
      <c r="H32" s="5">
        <v>0</v>
      </c>
      <c r="I32" s="1"/>
      <c r="J32" s="1"/>
      <c r="K32" s="1"/>
      <c r="L32" s="1"/>
      <c r="M32" s="1"/>
    </row>
    <row r="33" spans="1:13" ht="12.75" x14ac:dyDescent="0.2">
      <c r="A33" s="1"/>
      <c r="B33" s="1"/>
      <c r="C33" s="1"/>
      <c r="D33" s="1"/>
      <c r="E33" s="2" t="s">
        <v>17</v>
      </c>
      <c r="F33" s="1"/>
      <c r="G33" s="1"/>
      <c r="H33" s="5">
        <v>0</v>
      </c>
      <c r="I33" s="1"/>
      <c r="J33" s="1"/>
      <c r="K33" s="1"/>
      <c r="L33" s="1"/>
      <c r="M33" s="1"/>
    </row>
    <row r="34" spans="1:13" ht="12.75" x14ac:dyDescent="0.2">
      <c r="A34" s="1"/>
      <c r="B34" s="1"/>
      <c r="C34" s="1"/>
      <c r="D34" s="1"/>
      <c r="E34" s="2" t="s">
        <v>17</v>
      </c>
      <c r="F34" s="1"/>
      <c r="G34" s="1"/>
      <c r="H34" s="5">
        <v>0</v>
      </c>
      <c r="I34" s="1"/>
      <c r="J34" s="1"/>
      <c r="K34" s="1"/>
      <c r="L34" s="1"/>
      <c r="M34" s="1"/>
    </row>
    <row r="35" spans="1:13" ht="12.75" x14ac:dyDescent="0.2">
      <c r="A35" s="1"/>
      <c r="B35" s="1"/>
      <c r="C35" s="1"/>
      <c r="D35" s="1"/>
      <c r="E35" s="2" t="s">
        <v>131</v>
      </c>
      <c r="F35" s="1"/>
      <c r="G35" s="1"/>
      <c r="H35" s="8">
        <v>2</v>
      </c>
      <c r="I35" s="2" t="s">
        <v>4</v>
      </c>
      <c r="J35" s="1" t="s">
        <v>101</v>
      </c>
      <c r="K35" s="1"/>
      <c r="L35" s="1" t="s">
        <v>179</v>
      </c>
      <c r="M35" s="1"/>
    </row>
    <row r="36" spans="1:13" ht="12.75" x14ac:dyDescent="0.2">
      <c r="A36" s="1"/>
      <c r="B36" s="1"/>
      <c r="C36" s="1"/>
      <c r="D36" s="1"/>
      <c r="E36" s="2" t="s">
        <v>132</v>
      </c>
      <c r="F36" s="1"/>
      <c r="G36" s="1"/>
      <c r="H36" s="8">
        <v>2</v>
      </c>
      <c r="I36" s="2" t="s">
        <v>4</v>
      </c>
      <c r="J36" s="1" t="s">
        <v>101</v>
      </c>
      <c r="K36" s="1"/>
      <c r="L36" s="1"/>
      <c r="M36" s="1"/>
    </row>
    <row r="37" spans="1:13" ht="12.75" x14ac:dyDescent="0.2">
      <c r="A37" s="1"/>
      <c r="B37" s="1"/>
      <c r="C37" s="1"/>
      <c r="D37" s="1"/>
      <c r="E37" s="2" t="s">
        <v>18</v>
      </c>
      <c r="F37" s="1"/>
      <c r="G37" s="1"/>
      <c r="H37" s="8">
        <v>2</v>
      </c>
      <c r="I37" s="2" t="s">
        <v>4</v>
      </c>
      <c r="J37" s="1" t="s">
        <v>101</v>
      </c>
      <c r="K37" s="1"/>
      <c r="L37" s="1"/>
      <c r="M37" s="1"/>
    </row>
    <row r="38" spans="1:13" ht="12.75" x14ac:dyDescent="0.2">
      <c r="A38" s="1"/>
      <c r="B38" s="1"/>
      <c r="C38" s="1"/>
      <c r="D38" s="1"/>
      <c r="E38" s="2" t="s">
        <v>19</v>
      </c>
      <c r="F38" s="1"/>
      <c r="G38" s="1"/>
      <c r="H38" s="8">
        <v>22</v>
      </c>
      <c r="I38" s="2" t="s">
        <v>4</v>
      </c>
      <c r="J38" s="1"/>
      <c r="K38" s="1"/>
      <c r="L38" s="1"/>
      <c r="M38" s="1"/>
    </row>
    <row r="39" spans="1:13" ht="12.75" x14ac:dyDescent="0.2">
      <c r="A39" s="1"/>
      <c r="B39" s="1"/>
      <c r="C39" s="1"/>
      <c r="D39" s="1"/>
      <c r="E39" s="2" t="s">
        <v>20</v>
      </c>
      <c r="F39" s="1"/>
      <c r="G39" s="1"/>
      <c r="H39" s="8">
        <v>20</v>
      </c>
      <c r="I39" s="2" t="s">
        <v>4</v>
      </c>
      <c r="J39" s="1" t="s">
        <v>167</v>
      </c>
      <c r="K39" s="1"/>
      <c r="L39" s="1"/>
      <c r="M39" s="1"/>
    </row>
    <row r="40" spans="1:13" ht="12.75" x14ac:dyDescent="0.2">
      <c r="A40" s="1"/>
      <c r="B40" s="1"/>
      <c r="C40" s="1"/>
      <c r="D40" s="1"/>
      <c r="E40" s="2" t="s">
        <v>156</v>
      </c>
      <c r="F40" s="1"/>
      <c r="G40" s="1"/>
      <c r="H40" s="8">
        <v>25</v>
      </c>
      <c r="I40" s="2" t="s">
        <v>4</v>
      </c>
      <c r="J40" s="1"/>
      <c r="K40" s="1"/>
      <c r="L40" s="1"/>
      <c r="M40" s="1"/>
    </row>
    <row r="41" spans="1:13" ht="12.75" x14ac:dyDescent="0.2">
      <c r="A41" s="1"/>
      <c r="B41" s="1"/>
      <c r="C41" s="1"/>
      <c r="D41" s="1"/>
      <c r="E41" s="2" t="s">
        <v>133</v>
      </c>
      <c r="F41" s="1"/>
      <c r="G41" s="1"/>
      <c r="H41" s="9">
        <v>0</v>
      </c>
      <c r="I41" s="1"/>
      <c r="J41" s="1"/>
      <c r="K41" s="1"/>
      <c r="L41" s="1"/>
      <c r="M41" s="1"/>
    </row>
    <row r="42" spans="1:13" ht="12.75" x14ac:dyDescent="0.2">
      <c r="A42" s="1"/>
      <c r="B42" s="1"/>
      <c r="C42" s="1"/>
      <c r="D42" s="1"/>
      <c r="E42" s="2" t="s">
        <v>134</v>
      </c>
      <c r="F42" s="1"/>
      <c r="G42" s="1"/>
      <c r="H42" s="8">
        <v>1</v>
      </c>
      <c r="I42" s="2" t="s">
        <v>4</v>
      </c>
      <c r="J42" s="1" t="s">
        <v>102</v>
      </c>
      <c r="K42" s="1"/>
      <c r="L42" s="1"/>
      <c r="M42" s="1"/>
    </row>
    <row r="43" spans="1:13" ht="12.75" x14ac:dyDescent="0.2">
      <c r="A43" s="1"/>
      <c r="B43" s="1"/>
      <c r="C43" s="1"/>
      <c r="D43" s="1"/>
      <c r="E43" s="2" t="s">
        <v>135</v>
      </c>
      <c r="F43" s="1"/>
      <c r="G43" s="1"/>
      <c r="H43" s="8">
        <v>5</v>
      </c>
      <c r="I43" s="2" t="s">
        <v>4</v>
      </c>
      <c r="J43" s="1" t="s">
        <v>102</v>
      </c>
      <c r="K43" s="1"/>
      <c r="L43" s="1"/>
      <c r="M43" s="1"/>
    </row>
    <row r="44" spans="1:13" ht="12.75" x14ac:dyDescent="0.2">
      <c r="A44" s="1"/>
      <c r="B44" s="1"/>
      <c r="C44" s="1"/>
      <c r="D44" s="1"/>
      <c r="E44" s="29"/>
      <c r="F44" s="1"/>
      <c r="G44" s="1"/>
      <c r="H44" s="1"/>
      <c r="I44" s="1"/>
      <c r="J44" s="1"/>
      <c r="K44" s="1"/>
      <c r="L44" s="1"/>
      <c r="M44" s="1"/>
    </row>
    <row r="45" spans="1:13" ht="12.75" x14ac:dyDescent="0.2">
      <c r="A45" s="1"/>
      <c r="B45" s="1"/>
      <c r="C45" s="1"/>
      <c r="D45" s="1"/>
      <c r="E45" s="2" t="s">
        <v>103</v>
      </c>
      <c r="F45" s="1"/>
      <c r="G45" s="1"/>
      <c r="H45" s="1"/>
      <c r="I45" s="1"/>
      <c r="J45" s="1"/>
      <c r="K45" s="1"/>
      <c r="L45" s="2" t="s">
        <v>180</v>
      </c>
      <c r="M45" s="1"/>
    </row>
    <row r="46" spans="1:13" ht="12.75" x14ac:dyDescent="0.2">
      <c r="A46" s="1"/>
      <c r="B46" s="1"/>
      <c r="C46" s="1"/>
      <c r="D46" s="1"/>
      <c r="E46" s="3"/>
      <c r="F46" s="1"/>
      <c r="G46" s="1"/>
      <c r="H46" s="1"/>
      <c r="I46" s="1"/>
      <c r="J46" s="1"/>
      <c r="K46" s="1"/>
      <c r="L46" s="1"/>
      <c r="M46" s="1"/>
    </row>
    <row r="47" spans="1:13" ht="12.75" x14ac:dyDescent="0.2">
      <c r="A47" s="2" t="s">
        <v>21</v>
      </c>
      <c r="B47" s="1"/>
      <c r="C47" s="1"/>
      <c r="D47" s="2" t="s">
        <v>136</v>
      </c>
      <c r="E47" s="3"/>
      <c r="F47" s="1"/>
      <c r="G47" s="2" t="s">
        <v>137</v>
      </c>
      <c r="H47" s="1"/>
      <c r="I47" s="1"/>
      <c r="J47" s="1"/>
      <c r="K47" s="1"/>
      <c r="L47" s="1"/>
      <c r="M47" s="1"/>
    </row>
    <row r="48" spans="1:13" ht="12.75" x14ac:dyDescent="0.2">
      <c r="A48" s="1"/>
      <c r="B48" s="1"/>
      <c r="C48" s="1"/>
      <c r="D48" s="1"/>
      <c r="E48" s="3"/>
      <c r="F48" s="1"/>
      <c r="G48" s="1"/>
      <c r="H48" s="1"/>
      <c r="I48" s="1"/>
      <c r="J48" s="1"/>
      <c r="K48" s="1"/>
      <c r="L48" s="1"/>
      <c r="M48" s="1"/>
    </row>
    <row r="49" spans="1:13" ht="12.75" x14ac:dyDescent="0.2">
      <c r="A49" s="2" t="s">
        <v>22</v>
      </c>
      <c r="B49" s="13">
        <f>H11</f>
        <v>485000</v>
      </c>
      <c r="C49" s="1"/>
      <c r="D49" s="2" t="s">
        <v>23</v>
      </c>
      <c r="E49" s="14">
        <f>H13/100</f>
        <v>0.04</v>
      </c>
      <c r="F49" s="1"/>
      <c r="G49" s="2" t="s">
        <v>24</v>
      </c>
      <c r="H49" s="17">
        <f>1-H50</f>
        <v>0.15000000000000002</v>
      </c>
      <c r="I49" s="13">
        <f>H49*B49</f>
        <v>72750.000000000015</v>
      </c>
      <c r="J49" s="1"/>
      <c r="K49" s="1"/>
      <c r="L49" s="1"/>
      <c r="M49" s="1"/>
    </row>
    <row r="50" spans="1:13" ht="12.75" x14ac:dyDescent="0.2">
      <c r="A50" s="2" t="s">
        <v>25</v>
      </c>
      <c r="B50" s="13">
        <f>H12</f>
        <v>97000</v>
      </c>
      <c r="C50" s="1"/>
      <c r="D50" s="2" t="s">
        <v>26</v>
      </c>
      <c r="E50" s="15">
        <f>H14</f>
        <v>20</v>
      </c>
      <c r="F50" s="1"/>
      <c r="G50" s="2" t="s">
        <v>27</v>
      </c>
      <c r="H50" s="17">
        <f>H15/100</f>
        <v>0.85</v>
      </c>
      <c r="I50" s="13">
        <f>(H50*B49)+(B52+B53)</f>
        <v>417100</v>
      </c>
      <c r="J50" s="1"/>
      <c r="K50" s="1"/>
      <c r="L50" s="1"/>
      <c r="M50" s="1"/>
    </row>
    <row r="51" spans="1:13" ht="12.75" x14ac:dyDescent="0.2">
      <c r="A51" s="2" t="s">
        <v>28</v>
      </c>
      <c r="B51" s="13">
        <f>B49-B50</f>
        <v>388000</v>
      </c>
      <c r="C51" s="1"/>
      <c r="D51" s="2" t="s">
        <v>29</v>
      </c>
      <c r="E51" s="16">
        <f>PMT((E49/12),(E50*12),-B51)</f>
        <v>2351.2036776817445</v>
      </c>
      <c r="F51" s="1"/>
      <c r="G51" s="2" t="s">
        <v>26</v>
      </c>
      <c r="H51" s="12">
        <f>H16</f>
        <v>27.5</v>
      </c>
      <c r="I51" s="1"/>
      <c r="J51" s="1"/>
      <c r="K51" s="1"/>
      <c r="L51" s="1"/>
      <c r="M51" s="1"/>
    </row>
    <row r="52" spans="1:13" ht="12.75" x14ac:dyDescent="0.2">
      <c r="A52" s="2" t="s">
        <v>30</v>
      </c>
      <c r="B52" s="13">
        <f>(H42/100)*B49</f>
        <v>4850</v>
      </c>
      <c r="C52" s="1"/>
      <c r="D52" s="2" t="s">
        <v>31</v>
      </c>
      <c r="E52" s="16">
        <f>E51*12</f>
        <v>28214.444132180935</v>
      </c>
      <c r="F52" s="1"/>
      <c r="G52" s="2" t="s">
        <v>32</v>
      </c>
      <c r="H52" s="13">
        <f>I50/H51</f>
        <v>15167.272727272728</v>
      </c>
      <c r="I52" s="1"/>
      <c r="J52" s="1"/>
      <c r="K52" s="1"/>
      <c r="L52" s="1"/>
      <c r="M52" s="1"/>
    </row>
    <row r="53" spans="1:13" ht="12.75" x14ac:dyDescent="0.2">
      <c r="A53" s="2" t="s">
        <v>33</v>
      </c>
      <c r="B53" s="13">
        <f>H41</f>
        <v>0</v>
      </c>
      <c r="C53" s="1"/>
      <c r="D53" s="1"/>
      <c r="E53" s="3"/>
      <c r="F53" s="1"/>
      <c r="G53" s="1"/>
      <c r="H53" s="1"/>
      <c r="I53" s="1"/>
      <c r="J53" s="1"/>
      <c r="K53" s="1"/>
      <c r="L53" s="1"/>
      <c r="M53" s="1"/>
    </row>
    <row r="54" spans="1:13" ht="12.75" x14ac:dyDescent="0.2">
      <c r="A54" s="1"/>
      <c r="B54" s="1"/>
      <c r="C54" s="1"/>
      <c r="D54" s="1"/>
      <c r="E54" s="3"/>
      <c r="F54" s="1"/>
      <c r="G54" s="1"/>
      <c r="H54" s="1"/>
      <c r="I54" s="1"/>
      <c r="J54" s="1"/>
      <c r="K54" s="1"/>
      <c r="L54" s="1"/>
      <c r="M54" s="1"/>
    </row>
    <row r="55" spans="1:13" ht="12.75" x14ac:dyDescent="0.2">
      <c r="A55" s="1"/>
      <c r="B55" s="1"/>
      <c r="C55" s="1"/>
      <c r="D55" s="1"/>
      <c r="E55" s="3"/>
      <c r="F55" s="1"/>
      <c r="G55" s="1"/>
      <c r="H55" s="1"/>
      <c r="I55" s="1"/>
      <c r="J55" s="1"/>
      <c r="K55" s="1"/>
      <c r="L55" s="1"/>
      <c r="M55" s="1"/>
    </row>
    <row r="56" spans="1:13" ht="12.75" x14ac:dyDescent="0.2">
      <c r="A56" s="2" t="s">
        <v>34</v>
      </c>
      <c r="B56" s="1"/>
      <c r="C56" s="1"/>
      <c r="D56" s="30" t="s">
        <v>116</v>
      </c>
      <c r="E56" s="31" t="s">
        <v>117</v>
      </c>
      <c r="F56" s="30" t="s">
        <v>118</v>
      </c>
      <c r="G56" s="30" t="s">
        <v>119</v>
      </c>
      <c r="H56" s="30" t="s">
        <v>120</v>
      </c>
      <c r="I56" s="30" t="s">
        <v>121</v>
      </c>
      <c r="J56" s="30" t="s">
        <v>122</v>
      </c>
      <c r="K56" s="30" t="s">
        <v>123</v>
      </c>
      <c r="L56" s="30" t="s">
        <v>124</v>
      </c>
      <c r="M56" s="30" t="s">
        <v>125</v>
      </c>
    </row>
    <row r="57" spans="1:13" ht="12.75" x14ac:dyDescent="0.2">
      <c r="A57" s="1"/>
      <c r="B57" s="1"/>
      <c r="C57" s="1"/>
      <c r="D57" s="1"/>
      <c r="E57" s="3"/>
      <c r="F57" s="1"/>
      <c r="G57" s="1"/>
      <c r="H57" s="1"/>
      <c r="I57" s="1"/>
      <c r="J57" s="1"/>
      <c r="K57" s="1"/>
      <c r="L57" s="1"/>
      <c r="M57" s="1"/>
    </row>
    <row r="58" spans="1:13" ht="12.75" x14ac:dyDescent="0.2">
      <c r="A58" s="2" t="s">
        <v>127</v>
      </c>
      <c r="B58" s="1"/>
      <c r="C58" s="18">
        <f>H35/100</f>
        <v>0.02</v>
      </c>
      <c r="D58" s="14"/>
      <c r="E58" s="14">
        <f>C58</f>
        <v>0.02</v>
      </c>
      <c r="F58" s="14">
        <f>C58</f>
        <v>0.02</v>
      </c>
      <c r="G58" s="14">
        <f>C58</f>
        <v>0.02</v>
      </c>
      <c r="H58" s="14">
        <f>C58</f>
        <v>0.02</v>
      </c>
      <c r="I58" s="14">
        <f>C58</f>
        <v>0.02</v>
      </c>
      <c r="J58" s="14">
        <f>C58</f>
        <v>0.02</v>
      </c>
      <c r="K58" s="14">
        <f>C58</f>
        <v>0.02</v>
      </c>
      <c r="L58" s="14">
        <f>C58</f>
        <v>0.02</v>
      </c>
      <c r="M58" s="14">
        <f>C58</f>
        <v>0.02</v>
      </c>
    </row>
    <row r="59" spans="1:13" ht="12.75" x14ac:dyDescent="0.2">
      <c r="A59" s="2" t="s">
        <v>128</v>
      </c>
      <c r="B59" s="1"/>
      <c r="C59" s="1"/>
      <c r="D59" s="16">
        <f>H17</f>
        <v>74040</v>
      </c>
      <c r="E59" s="16">
        <f t="shared" ref="E59:M59" si="0">(1+E58)*D59</f>
        <v>75520.800000000003</v>
      </c>
      <c r="F59" s="16">
        <f t="shared" si="0"/>
        <v>77031.216</v>
      </c>
      <c r="G59" s="16">
        <f t="shared" si="0"/>
        <v>78571.840320000003</v>
      </c>
      <c r="H59" s="16">
        <f t="shared" si="0"/>
        <v>80143.277126400004</v>
      </c>
      <c r="I59" s="16">
        <f t="shared" si="0"/>
        <v>81746.142668928005</v>
      </c>
      <c r="J59" s="16">
        <f t="shared" si="0"/>
        <v>83381.06552230657</v>
      </c>
      <c r="K59" s="16">
        <f t="shared" si="0"/>
        <v>85048.686832752705</v>
      </c>
      <c r="L59" s="16">
        <f t="shared" si="0"/>
        <v>86749.660569407759</v>
      </c>
      <c r="M59" s="16">
        <f t="shared" si="0"/>
        <v>88484.65378079591</v>
      </c>
    </row>
    <row r="60" spans="1:13" ht="12.75" x14ac:dyDescent="0.2">
      <c r="A60" s="2" t="s">
        <v>129</v>
      </c>
      <c r="B60" s="1"/>
      <c r="C60" s="18">
        <f>H18/100</f>
        <v>0.05</v>
      </c>
      <c r="D60" s="16">
        <f>C60*D59</f>
        <v>3702</v>
      </c>
      <c r="E60" s="16">
        <f>C60*E59</f>
        <v>3776.0400000000004</v>
      </c>
      <c r="F60" s="16">
        <f>C60*F59</f>
        <v>3851.5608000000002</v>
      </c>
      <c r="G60" s="16">
        <f>C60*G59</f>
        <v>3928.5920160000005</v>
      </c>
      <c r="H60" s="16">
        <f>C60*H59</f>
        <v>4007.1638563200004</v>
      </c>
      <c r="I60" s="16">
        <f>C60*I59</f>
        <v>4087.3071334464003</v>
      </c>
      <c r="J60" s="16">
        <f>C60*J59</f>
        <v>4169.053276115329</v>
      </c>
      <c r="K60" s="16">
        <f>C60*K59</f>
        <v>4252.434341637635</v>
      </c>
      <c r="L60" s="16">
        <f>C60*L59</f>
        <v>4337.4830284703885</v>
      </c>
      <c r="M60" s="16">
        <f>C60*M59</f>
        <v>4424.2326890397953</v>
      </c>
    </row>
    <row r="61" spans="1:13" ht="12.75" x14ac:dyDescent="0.2">
      <c r="A61" s="2" t="s">
        <v>35</v>
      </c>
      <c r="B61" s="1"/>
      <c r="C61" s="1"/>
      <c r="D61" s="16">
        <f t="shared" ref="D61:M61" si="1">D59-D60</f>
        <v>70338</v>
      </c>
      <c r="E61" s="16">
        <f t="shared" si="1"/>
        <v>71744.760000000009</v>
      </c>
      <c r="F61" s="16">
        <f t="shared" si="1"/>
        <v>73179.655199999994</v>
      </c>
      <c r="G61" s="16">
        <f t="shared" si="1"/>
        <v>74643.248304000008</v>
      </c>
      <c r="H61" s="16">
        <f t="shared" si="1"/>
        <v>76136.113270080008</v>
      </c>
      <c r="I61" s="16">
        <f t="shared" si="1"/>
        <v>77658.835535481601</v>
      </c>
      <c r="J61" s="16">
        <f t="shared" si="1"/>
        <v>79212.01224619124</v>
      </c>
      <c r="K61" s="16">
        <f t="shared" si="1"/>
        <v>80796.252491115069</v>
      </c>
      <c r="L61" s="16">
        <f t="shared" si="1"/>
        <v>82412.177540937366</v>
      </c>
      <c r="M61" s="16">
        <f t="shared" si="1"/>
        <v>84060.421091756114</v>
      </c>
    </row>
    <row r="62" spans="1:13" ht="12.75" x14ac:dyDescent="0.2">
      <c r="A62" s="1" t="s">
        <v>138</v>
      </c>
      <c r="B62" s="1"/>
      <c r="C62" s="1"/>
      <c r="D62" s="3"/>
      <c r="E62" s="3"/>
      <c r="F62" s="3"/>
      <c r="G62" s="3"/>
      <c r="H62" s="3"/>
      <c r="I62" s="3"/>
      <c r="J62" s="3"/>
      <c r="K62" s="3"/>
      <c r="L62" s="3"/>
      <c r="M62" s="3"/>
    </row>
    <row r="63" spans="1:13" ht="12.75" x14ac:dyDescent="0.2">
      <c r="A63" s="1"/>
      <c r="B63" s="1"/>
      <c r="C63" s="1"/>
      <c r="D63" s="3"/>
      <c r="E63" s="3"/>
      <c r="F63" s="3"/>
      <c r="G63" s="3"/>
      <c r="H63" s="3"/>
      <c r="I63" s="3"/>
      <c r="J63" s="3"/>
      <c r="K63" s="3"/>
      <c r="L63" s="3"/>
      <c r="M63" s="3"/>
    </row>
    <row r="64" spans="1:13" ht="12.75" x14ac:dyDescent="0.2">
      <c r="A64" s="2" t="s">
        <v>36</v>
      </c>
      <c r="B64" s="1"/>
      <c r="C64" s="1"/>
      <c r="D64" s="31" t="s">
        <v>142</v>
      </c>
      <c r="E64" s="31" t="s">
        <v>117</v>
      </c>
      <c r="F64" s="31" t="s">
        <v>118</v>
      </c>
      <c r="G64" s="31" t="s">
        <v>119</v>
      </c>
      <c r="H64" s="31" t="s">
        <v>120</v>
      </c>
      <c r="I64" s="31" t="s">
        <v>121</v>
      </c>
      <c r="J64" s="31" t="s">
        <v>122</v>
      </c>
      <c r="K64" s="31" t="s">
        <v>123</v>
      </c>
      <c r="L64" s="31" t="s">
        <v>124</v>
      </c>
      <c r="M64" s="31" t="s">
        <v>125</v>
      </c>
    </row>
    <row r="65" spans="1:13" ht="12.75" x14ac:dyDescent="0.2">
      <c r="A65" s="1"/>
      <c r="B65" s="1"/>
      <c r="C65" s="1"/>
      <c r="D65" s="3"/>
      <c r="E65" s="3"/>
      <c r="F65" s="3"/>
      <c r="G65" s="3"/>
      <c r="H65" s="3"/>
      <c r="I65" s="3"/>
      <c r="J65" s="3"/>
      <c r="K65" s="3"/>
      <c r="L65" s="3"/>
      <c r="M65" s="3"/>
    </row>
    <row r="66" spans="1:13" ht="12.75" x14ac:dyDescent="0.2">
      <c r="A66" s="2" t="s">
        <v>126</v>
      </c>
      <c r="B66" s="1"/>
      <c r="C66" s="18">
        <f>H36/100</f>
        <v>0.02</v>
      </c>
      <c r="D66" s="14"/>
      <c r="E66" s="14">
        <f>C66</f>
        <v>0.02</v>
      </c>
      <c r="F66" s="14">
        <f>C66</f>
        <v>0.02</v>
      </c>
      <c r="G66" s="14">
        <f>C66</f>
        <v>0.02</v>
      </c>
      <c r="H66" s="14">
        <f>C66</f>
        <v>0.02</v>
      </c>
      <c r="I66" s="14">
        <f>C66</f>
        <v>0.02</v>
      </c>
      <c r="J66" s="14">
        <f>C66</f>
        <v>0.02</v>
      </c>
      <c r="K66" s="14">
        <f>C66</f>
        <v>0.02</v>
      </c>
      <c r="L66" s="14">
        <f>C66</f>
        <v>0.02</v>
      </c>
      <c r="M66" s="14">
        <f>C66</f>
        <v>0.02</v>
      </c>
    </row>
    <row r="67" spans="1:13" ht="12.75" x14ac:dyDescent="0.2">
      <c r="A67" s="2" t="s">
        <v>98</v>
      </c>
      <c r="B67" s="1"/>
      <c r="C67" s="1"/>
      <c r="D67" s="16">
        <f t="shared" ref="D67:D73" si="2">H20</f>
        <v>4473</v>
      </c>
      <c r="E67" s="16">
        <f t="shared" ref="E67:M67" si="3">(1+E66)*D67</f>
        <v>4562.46</v>
      </c>
      <c r="F67" s="16">
        <f t="shared" si="3"/>
        <v>4653.7092000000002</v>
      </c>
      <c r="G67" s="16">
        <f t="shared" si="3"/>
        <v>4746.7833840000003</v>
      </c>
      <c r="H67" s="16">
        <f t="shared" si="3"/>
        <v>4841.7190516800001</v>
      </c>
      <c r="I67" s="16">
        <f t="shared" si="3"/>
        <v>4938.5534327136002</v>
      </c>
      <c r="J67" s="16">
        <f t="shared" si="3"/>
        <v>5037.3245013678725</v>
      </c>
      <c r="K67" s="16">
        <f t="shared" si="3"/>
        <v>5138.0709913952296</v>
      </c>
      <c r="L67" s="16">
        <f t="shared" si="3"/>
        <v>5240.8324112231339</v>
      </c>
      <c r="M67" s="16">
        <f t="shared" si="3"/>
        <v>5345.6490594475963</v>
      </c>
    </row>
    <row r="68" spans="1:13" ht="12.75" x14ac:dyDescent="0.2">
      <c r="A68" s="2" t="s">
        <v>37</v>
      </c>
      <c r="B68" s="1"/>
      <c r="C68" s="1"/>
      <c r="D68" s="16">
        <f t="shared" si="2"/>
        <v>2559</v>
      </c>
      <c r="E68" s="16">
        <f t="shared" ref="E68:M68" si="4">(1+E66)*D68</f>
        <v>2610.1799999999998</v>
      </c>
      <c r="F68" s="16">
        <f t="shared" si="4"/>
        <v>2662.3835999999997</v>
      </c>
      <c r="G68" s="16">
        <f t="shared" si="4"/>
        <v>2715.6312719999996</v>
      </c>
      <c r="H68" s="16">
        <f t="shared" si="4"/>
        <v>2769.9438974399995</v>
      </c>
      <c r="I68" s="16">
        <f t="shared" si="4"/>
        <v>2825.3427753887995</v>
      </c>
      <c r="J68" s="16">
        <f t="shared" si="4"/>
        <v>2881.8496308965755</v>
      </c>
      <c r="K68" s="16">
        <f t="shared" si="4"/>
        <v>2939.4866235145068</v>
      </c>
      <c r="L68" s="16">
        <f t="shared" si="4"/>
        <v>2998.2763559847972</v>
      </c>
      <c r="M68" s="16">
        <f t="shared" si="4"/>
        <v>3058.2418831044934</v>
      </c>
    </row>
    <row r="69" spans="1:13" ht="12.75" x14ac:dyDescent="0.2">
      <c r="A69" s="2" t="s">
        <v>38</v>
      </c>
      <c r="B69" s="1"/>
      <c r="C69" s="1"/>
      <c r="D69" s="16">
        <f t="shared" si="2"/>
        <v>300</v>
      </c>
      <c r="E69" s="16">
        <f t="shared" ref="E69:M69" si="5">(1+E66)*D69</f>
        <v>306</v>
      </c>
      <c r="F69" s="16">
        <f t="shared" si="5"/>
        <v>312.12</v>
      </c>
      <c r="G69" s="16">
        <f t="shared" si="5"/>
        <v>318.36240000000004</v>
      </c>
      <c r="H69" s="16">
        <f t="shared" si="5"/>
        <v>324.72964800000005</v>
      </c>
      <c r="I69" s="16">
        <f t="shared" si="5"/>
        <v>331.22424096000009</v>
      </c>
      <c r="J69" s="16">
        <f t="shared" si="5"/>
        <v>337.84872577920009</v>
      </c>
      <c r="K69" s="16">
        <f t="shared" si="5"/>
        <v>344.60570029478413</v>
      </c>
      <c r="L69" s="16">
        <f t="shared" si="5"/>
        <v>351.49781430067981</v>
      </c>
      <c r="M69" s="16">
        <f t="shared" si="5"/>
        <v>358.52777058669341</v>
      </c>
    </row>
    <row r="70" spans="1:13" ht="12.75" x14ac:dyDescent="0.2">
      <c r="A70" s="2" t="s">
        <v>39</v>
      </c>
      <c r="B70" s="1"/>
      <c r="C70" s="1"/>
      <c r="D70" s="16">
        <f t="shared" si="2"/>
        <v>0</v>
      </c>
      <c r="E70" s="16">
        <f t="shared" ref="E70:M70" si="6">(1+E66)*D70</f>
        <v>0</v>
      </c>
      <c r="F70" s="16">
        <f t="shared" si="6"/>
        <v>0</v>
      </c>
      <c r="G70" s="16">
        <f t="shared" si="6"/>
        <v>0</v>
      </c>
      <c r="H70" s="16">
        <f t="shared" si="6"/>
        <v>0</v>
      </c>
      <c r="I70" s="16">
        <f t="shared" si="6"/>
        <v>0</v>
      </c>
      <c r="J70" s="16">
        <f t="shared" si="6"/>
        <v>0</v>
      </c>
      <c r="K70" s="16">
        <f t="shared" si="6"/>
        <v>0</v>
      </c>
      <c r="L70" s="16">
        <f t="shared" si="6"/>
        <v>0</v>
      </c>
      <c r="M70" s="16">
        <f t="shared" si="6"/>
        <v>0</v>
      </c>
    </row>
    <row r="71" spans="1:13" ht="12.75" x14ac:dyDescent="0.2">
      <c r="A71" s="2" t="s">
        <v>40</v>
      </c>
      <c r="B71" s="1"/>
      <c r="C71" s="1"/>
      <c r="D71" s="16">
        <f t="shared" si="2"/>
        <v>10080</v>
      </c>
      <c r="E71" s="16">
        <f t="shared" ref="E71:M71" si="7">(1+E66)*D71</f>
        <v>10281.6</v>
      </c>
      <c r="F71" s="16">
        <f t="shared" si="7"/>
        <v>10487.232</v>
      </c>
      <c r="G71" s="16">
        <f t="shared" si="7"/>
        <v>10696.976640000001</v>
      </c>
      <c r="H71" s="16">
        <f t="shared" si="7"/>
        <v>10910.916172800002</v>
      </c>
      <c r="I71" s="16">
        <f t="shared" si="7"/>
        <v>11129.134496256002</v>
      </c>
      <c r="J71" s="16">
        <f t="shared" si="7"/>
        <v>11351.717186181122</v>
      </c>
      <c r="K71" s="16">
        <f t="shared" si="7"/>
        <v>11578.751529904745</v>
      </c>
      <c r="L71" s="16">
        <f t="shared" si="7"/>
        <v>11810.326560502839</v>
      </c>
      <c r="M71" s="16">
        <f t="shared" si="7"/>
        <v>12046.533091712896</v>
      </c>
    </row>
    <row r="72" spans="1:13" ht="12.75" x14ac:dyDescent="0.2">
      <c r="A72" s="2" t="s">
        <v>41</v>
      </c>
      <c r="B72" s="1"/>
      <c r="C72" s="1"/>
      <c r="D72" s="16">
        <f t="shared" si="2"/>
        <v>1900</v>
      </c>
      <c r="E72" s="16">
        <f t="shared" ref="E72:M72" si="8">(1+E66)*D72</f>
        <v>1938</v>
      </c>
      <c r="F72" s="16">
        <f t="shared" si="8"/>
        <v>1976.76</v>
      </c>
      <c r="G72" s="16">
        <f t="shared" si="8"/>
        <v>2016.2952</v>
      </c>
      <c r="H72" s="16">
        <f t="shared" si="8"/>
        <v>2056.6211039999998</v>
      </c>
      <c r="I72" s="16">
        <f t="shared" si="8"/>
        <v>2097.75352608</v>
      </c>
      <c r="J72" s="16">
        <f t="shared" si="8"/>
        <v>2139.7085966016002</v>
      </c>
      <c r="K72" s="16">
        <f t="shared" si="8"/>
        <v>2182.5027685336322</v>
      </c>
      <c r="L72" s="16">
        <f t="shared" si="8"/>
        <v>2226.152823904305</v>
      </c>
      <c r="M72" s="16">
        <f t="shared" si="8"/>
        <v>2270.6758803823914</v>
      </c>
    </row>
    <row r="73" spans="1:13" ht="12.75" x14ac:dyDescent="0.2">
      <c r="A73" s="2" t="s">
        <v>139</v>
      </c>
      <c r="B73" s="1"/>
      <c r="C73" s="1"/>
      <c r="D73" s="16">
        <f t="shared" si="2"/>
        <v>650</v>
      </c>
      <c r="E73" s="16">
        <f t="shared" ref="E73:M73" si="9">(1+E66)*D73</f>
        <v>663</v>
      </c>
      <c r="F73" s="16">
        <f t="shared" si="9"/>
        <v>676.26</v>
      </c>
      <c r="G73" s="16">
        <f t="shared" si="9"/>
        <v>689.78520000000003</v>
      </c>
      <c r="H73" s="16">
        <f t="shared" si="9"/>
        <v>703.58090400000003</v>
      </c>
      <c r="I73" s="16">
        <f t="shared" si="9"/>
        <v>717.65252208000004</v>
      </c>
      <c r="J73" s="16">
        <f t="shared" si="9"/>
        <v>732.00557252160002</v>
      </c>
      <c r="K73" s="16">
        <f t="shared" si="9"/>
        <v>746.64568397203197</v>
      </c>
      <c r="L73" s="16">
        <f t="shared" si="9"/>
        <v>761.57859765147259</v>
      </c>
      <c r="M73" s="16">
        <f t="shared" si="9"/>
        <v>776.81016960450211</v>
      </c>
    </row>
    <row r="74" spans="1:13" ht="12.75" x14ac:dyDescent="0.2">
      <c r="A74" s="2" t="s">
        <v>42</v>
      </c>
      <c r="B74" s="1"/>
      <c r="C74" s="18">
        <f>H27/100</f>
        <v>0.08</v>
      </c>
      <c r="D74" s="16">
        <f>C74*D61</f>
        <v>5627.04</v>
      </c>
      <c r="E74" s="16">
        <f>C74*E61</f>
        <v>5739.5808000000006</v>
      </c>
      <c r="F74" s="16">
        <f>C74*F61</f>
        <v>5854.3724159999992</v>
      </c>
      <c r="G74" s="16">
        <f>C74*G61</f>
        <v>5971.4598643200006</v>
      </c>
      <c r="H74" s="16">
        <f>C74*H61</f>
        <v>6090.8890616064009</v>
      </c>
      <c r="I74" s="16">
        <f>C74*I61</f>
        <v>6212.7068428385282</v>
      </c>
      <c r="J74" s="16">
        <f>C74*J61</f>
        <v>6336.9609796952991</v>
      </c>
      <c r="K74" s="16">
        <f>C74*K61</f>
        <v>6463.7001992892056</v>
      </c>
      <c r="L74" s="16">
        <f>C74*L61</f>
        <v>6592.9742032749891</v>
      </c>
      <c r="M74" s="16">
        <f>C74*M61</f>
        <v>6724.8336873404896</v>
      </c>
    </row>
    <row r="75" spans="1:13" ht="12.75" x14ac:dyDescent="0.2">
      <c r="A75" s="2" t="s">
        <v>43</v>
      </c>
      <c r="B75" s="1"/>
      <c r="C75" s="18">
        <f>H28/100</f>
        <v>0.15</v>
      </c>
      <c r="D75" s="16">
        <f>C75*D61</f>
        <v>10550.699999999999</v>
      </c>
      <c r="E75" s="16">
        <f>C75*E61</f>
        <v>10761.714000000002</v>
      </c>
      <c r="F75" s="16">
        <f>C75*F61</f>
        <v>10976.948279999999</v>
      </c>
      <c r="G75" s="16">
        <f>C75*G61</f>
        <v>11196.487245600001</v>
      </c>
      <c r="H75" s="16">
        <f>C75*H61</f>
        <v>11420.416990512002</v>
      </c>
      <c r="I75" s="16">
        <f>C75*I61</f>
        <v>11648.825330322239</v>
      </c>
      <c r="J75" s="16">
        <f>C75*J61</f>
        <v>11881.801836928686</v>
      </c>
      <c r="K75" s="16">
        <f>C75*K61</f>
        <v>12119.437873667261</v>
      </c>
      <c r="L75" s="16">
        <f>C75*L61</f>
        <v>12361.826631140604</v>
      </c>
      <c r="M75" s="16">
        <f>C75*M61</f>
        <v>12609.063163763416</v>
      </c>
    </row>
    <row r="76" spans="1:13" ht="12.75" x14ac:dyDescent="0.2">
      <c r="A76" s="2" t="s">
        <v>44</v>
      </c>
      <c r="B76" s="1"/>
      <c r="C76" s="1"/>
      <c r="D76" s="16">
        <f>H29</f>
        <v>0</v>
      </c>
      <c r="E76" s="16">
        <f t="shared" ref="E76:M76" si="10">(1+E66)*D76</f>
        <v>0</v>
      </c>
      <c r="F76" s="16">
        <f t="shared" si="10"/>
        <v>0</v>
      </c>
      <c r="G76" s="16">
        <f t="shared" si="10"/>
        <v>0</v>
      </c>
      <c r="H76" s="16">
        <f t="shared" si="10"/>
        <v>0</v>
      </c>
      <c r="I76" s="16">
        <f t="shared" si="10"/>
        <v>0</v>
      </c>
      <c r="J76" s="16">
        <f t="shared" si="10"/>
        <v>0</v>
      </c>
      <c r="K76" s="16">
        <f t="shared" si="10"/>
        <v>0</v>
      </c>
      <c r="L76" s="16">
        <f t="shared" si="10"/>
        <v>0</v>
      </c>
      <c r="M76" s="16">
        <f t="shared" si="10"/>
        <v>0</v>
      </c>
    </row>
    <row r="77" spans="1:13" ht="12.75" x14ac:dyDescent="0.2">
      <c r="A77" s="2" t="s">
        <v>45</v>
      </c>
      <c r="B77" s="1"/>
      <c r="C77" s="1"/>
      <c r="D77" s="16">
        <f>H30</f>
        <v>0</v>
      </c>
      <c r="E77" s="16">
        <f t="shared" ref="E77:M77" si="11">(1+E66)*D77</f>
        <v>0</v>
      </c>
      <c r="F77" s="16">
        <f t="shared" si="11"/>
        <v>0</v>
      </c>
      <c r="G77" s="16">
        <f t="shared" si="11"/>
        <v>0</v>
      </c>
      <c r="H77" s="16">
        <f t="shared" si="11"/>
        <v>0</v>
      </c>
      <c r="I77" s="16">
        <f t="shared" si="11"/>
        <v>0</v>
      </c>
      <c r="J77" s="16">
        <f t="shared" si="11"/>
        <v>0</v>
      </c>
      <c r="K77" s="16">
        <f t="shared" si="11"/>
        <v>0</v>
      </c>
      <c r="L77" s="16">
        <f t="shared" si="11"/>
        <v>0</v>
      </c>
      <c r="M77" s="16">
        <f t="shared" si="11"/>
        <v>0</v>
      </c>
    </row>
    <row r="78" spans="1:13" ht="12.75" x14ac:dyDescent="0.2">
      <c r="A78" s="2" t="s">
        <v>46</v>
      </c>
      <c r="B78" s="1"/>
      <c r="C78" s="1"/>
      <c r="D78" s="16">
        <f>H31</f>
        <v>0</v>
      </c>
      <c r="E78" s="16">
        <f t="shared" ref="E78:M78" si="12">(1+E66)*D78</f>
        <v>0</v>
      </c>
      <c r="F78" s="16">
        <f t="shared" si="12"/>
        <v>0</v>
      </c>
      <c r="G78" s="16">
        <f t="shared" si="12"/>
        <v>0</v>
      </c>
      <c r="H78" s="16">
        <f t="shared" si="12"/>
        <v>0</v>
      </c>
      <c r="I78" s="16">
        <f t="shared" si="12"/>
        <v>0</v>
      </c>
      <c r="J78" s="16">
        <f t="shared" si="12"/>
        <v>0</v>
      </c>
      <c r="K78" s="16">
        <f t="shared" si="12"/>
        <v>0</v>
      </c>
      <c r="L78" s="16">
        <f t="shared" si="12"/>
        <v>0</v>
      </c>
      <c r="M78" s="16">
        <f t="shared" si="12"/>
        <v>0</v>
      </c>
    </row>
    <row r="79" spans="1:13" ht="12.75" x14ac:dyDescent="0.2">
      <c r="A79" s="2" t="s">
        <v>46</v>
      </c>
      <c r="B79" s="1"/>
      <c r="C79" s="1"/>
      <c r="D79" s="16">
        <f>H33</f>
        <v>0</v>
      </c>
      <c r="E79" s="16">
        <f t="shared" ref="E79:M79" si="13">(1+E66)*D79</f>
        <v>0</v>
      </c>
      <c r="F79" s="16">
        <f t="shared" si="13"/>
        <v>0</v>
      </c>
      <c r="G79" s="16">
        <f t="shared" si="13"/>
        <v>0</v>
      </c>
      <c r="H79" s="16">
        <f t="shared" si="13"/>
        <v>0</v>
      </c>
      <c r="I79" s="16">
        <f t="shared" si="13"/>
        <v>0</v>
      </c>
      <c r="J79" s="16">
        <f t="shared" si="13"/>
        <v>0</v>
      </c>
      <c r="K79" s="16">
        <f t="shared" si="13"/>
        <v>0</v>
      </c>
      <c r="L79" s="16">
        <f t="shared" si="13"/>
        <v>0</v>
      </c>
      <c r="M79" s="16">
        <f t="shared" si="13"/>
        <v>0</v>
      </c>
    </row>
    <row r="80" spans="1:13" ht="12.75" x14ac:dyDescent="0.2">
      <c r="A80" s="2" t="s">
        <v>46</v>
      </c>
      <c r="B80" s="1"/>
      <c r="C80" s="1"/>
      <c r="D80" s="16">
        <f>H34</f>
        <v>0</v>
      </c>
      <c r="E80" s="16">
        <f t="shared" ref="E80:M80" si="14">(1+E66)*D80</f>
        <v>0</v>
      </c>
      <c r="F80" s="16">
        <f t="shared" si="14"/>
        <v>0</v>
      </c>
      <c r="G80" s="16">
        <f t="shared" si="14"/>
        <v>0</v>
      </c>
      <c r="H80" s="16">
        <f t="shared" si="14"/>
        <v>0</v>
      </c>
      <c r="I80" s="16">
        <f t="shared" si="14"/>
        <v>0</v>
      </c>
      <c r="J80" s="16">
        <f t="shared" si="14"/>
        <v>0</v>
      </c>
      <c r="K80" s="16">
        <f t="shared" si="14"/>
        <v>0</v>
      </c>
      <c r="L80" s="16">
        <f t="shared" si="14"/>
        <v>0</v>
      </c>
      <c r="M80" s="16">
        <f t="shared" si="14"/>
        <v>0</v>
      </c>
    </row>
    <row r="81" spans="1:13" ht="12.75" x14ac:dyDescent="0.2">
      <c r="A81" s="2" t="s">
        <v>47</v>
      </c>
      <c r="B81" s="1"/>
      <c r="C81" s="1"/>
      <c r="D81" s="16">
        <f t="shared" ref="D81:M81" si="15">SUM(D67:D80)</f>
        <v>36139.74</v>
      </c>
      <c r="E81" s="16">
        <f t="shared" si="15"/>
        <v>36862.534800000001</v>
      </c>
      <c r="F81" s="16">
        <f t="shared" si="15"/>
        <v>37599.785495999997</v>
      </c>
      <c r="G81" s="16">
        <f t="shared" si="15"/>
        <v>38351.781205920001</v>
      </c>
      <c r="H81" s="16">
        <f t="shared" si="15"/>
        <v>39118.816830038406</v>
      </c>
      <c r="I81" s="16">
        <f t="shared" si="15"/>
        <v>39901.193166639168</v>
      </c>
      <c r="J81" s="16">
        <f t="shared" si="15"/>
        <v>40699.217029971958</v>
      </c>
      <c r="K81" s="16">
        <f t="shared" si="15"/>
        <v>41513.201370571391</v>
      </c>
      <c r="L81" s="16">
        <f t="shared" si="15"/>
        <v>42343.465397982814</v>
      </c>
      <c r="M81" s="16">
        <f t="shared" si="15"/>
        <v>43190.334705942478</v>
      </c>
    </row>
    <row r="82" spans="1:13" ht="12.75" x14ac:dyDescent="0.2">
      <c r="A82" s="2" t="s">
        <v>140</v>
      </c>
      <c r="B82" s="1"/>
      <c r="C82" s="1"/>
      <c r="D82" s="14">
        <f t="shared" ref="D82:M82" si="16">D81/D61</f>
        <v>0.5138010748102021</v>
      </c>
      <c r="E82" s="14">
        <f t="shared" si="16"/>
        <v>0.5138010748102021</v>
      </c>
      <c r="F82" s="14">
        <f t="shared" si="16"/>
        <v>0.51380107481020221</v>
      </c>
      <c r="G82" s="14">
        <f t="shared" si="16"/>
        <v>0.5138010748102021</v>
      </c>
      <c r="H82" s="14">
        <f t="shared" si="16"/>
        <v>0.51380107481020221</v>
      </c>
      <c r="I82" s="14">
        <f t="shared" si="16"/>
        <v>0.51380107481020221</v>
      </c>
      <c r="J82" s="14">
        <f t="shared" si="16"/>
        <v>0.51380107481020221</v>
      </c>
      <c r="K82" s="14">
        <f t="shared" si="16"/>
        <v>0.5138010748102021</v>
      </c>
      <c r="L82" s="14">
        <f t="shared" si="16"/>
        <v>0.5138010748102021</v>
      </c>
      <c r="M82" s="14">
        <f t="shared" si="16"/>
        <v>0.5138010748102021</v>
      </c>
    </row>
    <row r="83" spans="1:13" ht="12.75" x14ac:dyDescent="0.2">
      <c r="A83" s="1"/>
      <c r="B83" s="1"/>
      <c r="C83" s="1"/>
      <c r="D83" s="3"/>
      <c r="E83" s="3"/>
      <c r="F83" s="3"/>
      <c r="G83" s="3"/>
      <c r="H83" s="3"/>
      <c r="I83" s="3"/>
      <c r="J83" s="3"/>
      <c r="K83" s="3"/>
      <c r="L83" s="3"/>
      <c r="M83" s="3"/>
    </row>
    <row r="84" spans="1:13" ht="12.75" x14ac:dyDescent="0.2">
      <c r="A84" s="1"/>
      <c r="B84" s="1"/>
      <c r="C84" s="1"/>
      <c r="D84" s="3"/>
      <c r="E84" s="3"/>
      <c r="F84" s="3"/>
      <c r="G84" s="3"/>
      <c r="H84" s="3"/>
      <c r="I84" s="3"/>
      <c r="J84" s="3"/>
      <c r="K84" s="3"/>
      <c r="L84" s="3"/>
      <c r="M84" s="3"/>
    </row>
    <row r="85" spans="1:13" ht="12.75" x14ac:dyDescent="0.2">
      <c r="A85" s="2" t="s">
        <v>48</v>
      </c>
      <c r="B85" s="1"/>
      <c r="C85" s="1"/>
      <c r="D85" s="16">
        <f t="shared" ref="D85:M85" si="17">D61-D81</f>
        <v>34198.26</v>
      </c>
      <c r="E85" s="16">
        <f t="shared" si="17"/>
        <v>34882.225200000008</v>
      </c>
      <c r="F85" s="16">
        <f t="shared" si="17"/>
        <v>35579.869703999997</v>
      </c>
      <c r="G85" s="16">
        <f t="shared" si="17"/>
        <v>36291.467098080007</v>
      </c>
      <c r="H85" s="16">
        <f t="shared" si="17"/>
        <v>37017.296440041602</v>
      </c>
      <c r="I85" s="16">
        <f t="shared" si="17"/>
        <v>37757.642368842433</v>
      </c>
      <c r="J85" s="16">
        <f t="shared" si="17"/>
        <v>38512.795216219281</v>
      </c>
      <c r="K85" s="16">
        <f t="shared" si="17"/>
        <v>39283.051120543678</v>
      </c>
      <c r="L85" s="16">
        <f t="shared" si="17"/>
        <v>40068.712142954551</v>
      </c>
      <c r="M85" s="16">
        <f t="shared" si="17"/>
        <v>40870.086385813636</v>
      </c>
    </row>
    <row r="86" spans="1:13" ht="12.75" x14ac:dyDescent="0.2">
      <c r="A86" s="1" t="s">
        <v>141</v>
      </c>
      <c r="B86" s="1"/>
      <c r="C86" s="1"/>
      <c r="D86" s="3"/>
      <c r="E86" s="3"/>
      <c r="F86" s="3"/>
      <c r="G86" s="3"/>
      <c r="H86" s="3"/>
      <c r="I86" s="3"/>
      <c r="J86" s="3"/>
      <c r="K86" s="3"/>
      <c r="L86" s="3"/>
      <c r="M86" s="3"/>
    </row>
    <row r="87" spans="1:13" ht="12.75" x14ac:dyDescent="0.2">
      <c r="A87" s="1"/>
      <c r="B87" s="1"/>
      <c r="C87" s="1"/>
      <c r="D87" s="3"/>
      <c r="E87" s="3"/>
      <c r="F87" s="3"/>
      <c r="G87" s="3"/>
      <c r="H87" s="3"/>
      <c r="I87" s="3"/>
      <c r="J87" s="3"/>
      <c r="K87" s="3"/>
      <c r="L87" s="3"/>
      <c r="M87" s="3"/>
    </row>
    <row r="88" spans="1:13" ht="12.75" x14ac:dyDescent="0.2">
      <c r="A88" s="1"/>
      <c r="B88" s="1"/>
      <c r="C88" s="1"/>
      <c r="D88" s="3"/>
      <c r="E88" s="3"/>
      <c r="F88" s="3"/>
      <c r="G88" s="3"/>
      <c r="H88" s="3"/>
      <c r="I88" s="3"/>
      <c r="J88" s="3"/>
      <c r="K88" s="3"/>
      <c r="L88" s="3"/>
      <c r="M88" s="3"/>
    </row>
    <row r="89" spans="1:13" ht="12.75" x14ac:dyDescent="0.2">
      <c r="A89" s="2" t="s">
        <v>49</v>
      </c>
      <c r="B89" s="1"/>
      <c r="C89" s="1"/>
      <c r="D89" s="31" t="s">
        <v>142</v>
      </c>
      <c r="E89" s="31" t="s">
        <v>117</v>
      </c>
      <c r="F89" s="31" t="s">
        <v>118</v>
      </c>
      <c r="G89" s="31" t="s">
        <v>119</v>
      </c>
      <c r="H89" s="31" t="s">
        <v>120</v>
      </c>
      <c r="I89" s="31" t="s">
        <v>121</v>
      </c>
      <c r="J89" s="31" t="s">
        <v>122</v>
      </c>
      <c r="K89" s="31" t="s">
        <v>123</v>
      </c>
      <c r="L89" s="31" t="s">
        <v>124</v>
      </c>
      <c r="M89" s="31" t="s">
        <v>125</v>
      </c>
    </row>
    <row r="90" spans="1:13" ht="12.75" x14ac:dyDescent="0.2">
      <c r="A90" s="1"/>
      <c r="B90" s="1"/>
      <c r="C90" s="1"/>
      <c r="D90" s="3"/>
      <c r="E90" s="3"/>
      <c r="F90" s="3"/>
      <c r="G90" s="3"/>
      <c r="H90" s="3"/>
      <c r="I90" s="3"/>
      <c r="J90" s="3"/>
      <c r="K90" s="3"/>
      <c r="L90" s="3"/>
      <c r="M90" s="3"/>
    </row>
    <row r="91" spans="1:13" ht="12.75" x14ac:dyDescent="0.2">
      <c r="A91" s="2" t="s">
        <v>50</v>
      </c>
      <c r="B91" s="1"/>
      <c r="C91" s="1"/>
      <c r="D91" s="16">
        <f t="shared" ref="D91:M91" si="18">D85</f>
        <v>34198.26</v>
      </c>
      <c r="E91" s="16">
        <f t="shared" si="18"/>
        <v>34882.225200000008</v>
      </c>
      <c r="F91" s="16">
        <f t="shared" si="18"/>
        <v>35579.869703999997</v>
      </c>
      <c r="G91" s="16">
        <f t="shared" si="18"/>
        <v>36291.467098080007</v>
      </c>
      <c r="H91" s="16">
        <f t="shared" si="18"/>
        <v>37017.296440041602</v>
      </c>
      <c r="I91" s="16">
        <f t="shared" si="18"/>
        <v>37757.642368842433</v>
      </c>
      <c r="J91" s="16">
        <f t="shared" si="18"/>
        <v>38512.795216219281</v>
      </c>
      <c r="K91" s="16">
        <f t="shared" si="18"/>
        <v>39283.051120543678</v>
      </c>
      <c r="L91" s="16">
        <f t="shared" si="18"/>
        <v>40068.712142954551</v>
      </c>
      <c r="M91" s="16">
        <f t="shared" si="18"/>
        <v>40870.086385813636</v>
      </c>
    </row>
    <row r="92" spans="1:13" ht="12.75" x14ac:dyDescent="0.2">
      <c r="A92" s="2" t="s">
        <v>51</v>
      </c>
      <c r="B92" s="1"/>
      <c r="C92" s="1"/>
      <c r="D92" s="16">
        <f>E52</f>
        <v>28214.444132180935</v>
      </c>
      <c r="E92" s="16">
        <f>E52</f>
        <v>28214.444132180935</v>
      </c>
      <c r="F92" s="16">
        <f>E52</f>
        <v>28214.444132180935</v>
      </c>
      <c r="G92" s="16">
        <f>E52</f>
        <v>28214.444132180935</v>
      </c>
      <c r="H92" s="16">
        <f>E52</f>
        <v>28214.444132180935</v>
      </c>
      <c r="I92" s="16">
        <f>E52</f>
        <v>28214.444132180935</v>
      </c>
      <c r="J92" s="16">
        <f>E52</f>
        <v>28214.444132180935</v>
      </c>
      <c r="K92" s="16">
        <f>E52</f>
        <v>28214.444132180935</v>
      </c>
      <c r="L92" s="16">
        <f>E52</f>
        <v>28214.444132180935</v>
      </c>
      <c r="M92" s="16">
        <f>E52</f>
        <v>28214.444132180935</v>
      </c>
    </row>
    <row r="93" spans="1:13" ht="12.75" x14ac:dyDescent="0.2">
      <c r="A93" s="2" t="s">
        <v>49</v>
      </c>
      <c r="B93" s="1"/>
      <c r="C93" s="1"/>
      <c r="D93" s="16">
        <f t="shared" ref="D93:M93" si="19">D91-D92</f>
        <v>5983.8158678190666</v>
      </c>
      <c r="E93" s="16">
        <f t="shared" si="19"/>
        <v>6667.7810678190726</v>
      </c>
      <c r="F93" s="16">
        <f t="shared" si="19"/>
        <v>7365.4255718190616</v>
      </c>
      <c r="G93" s="16">
        <f t="shared" si="19"/>
        <v>8077.022965899072</v>
      </c>
      <c r="H93" s="16">
        <f t="shared" si="19"/>
        <v>8802.8523078606668</v>
      </c>
      <c r="I93" s="16">
        <f t="shared" si="19"/>
        <v>9543.1982366614975</v>
      </c>
      <c r="J93" s="16">
        <f t="shared" si="19"/>
        <v>10298.351084038346</v>
      </c>
      <c r="K93" s="16">
        <f t="shared" si="19"/>
        <v>11068.606988362742</v>
      </c>
      <c r="L93" s="16">
        <f t="shared" si="19"/>
        <v>11854.268010773616</v>
      </c>
      <c r="M93" s="16">
        <f t="shared" si="19"/>
        <v>12655.642253632701</v>
      </c>
    </row>
    <row r="94" spans="1:13" ht="12.75" x14ac:dyDescent="0.2">
      <c r="A94" s="1"/>
      <c r="B94" s="1"/>
      <c r="C94" s="1"/>
      <c r="D94" s="3">
        <f>(D93/13)/12</f>
        <v>38.357794024481194</v>
      </c>
      <c r="E94" s="3"/>
      <c r="F94" s="3"/>
      <c r="G94" s="3"/>
      <c r="H94" s="3"/>
      <c r="I94" s="3"/>
      <c r="J94" s="3"/>
      <c r="K94" s="3"/>
      <c r="L94" s="3"/>
      <c r="M94" s="3"/>
    </row>
    <row r="95" spans="1:13" ht="12.75" x14ac:dyDescent="0.2">
      <c r="A95" s="1"/>
      <c r="B95" s="1"/>
      <c r="C95" s="1"/>
      <c r="D95" s="3"/>
      <c r="E95" s="3"/>
      <c r="F95" s="3"/>
      <c r="G95" s="3"/>
      <c r="H95" s="3"/>
      <c r="I95" s="3"/>
      <c r="J95" s="3"/>
      <c r="K95" s="3"/>
      <c r="L95" s="3"/>
      <c r="M95" s="3"/>
    </row>
    <row r="96" spans="1:13" ht="12.75" x14ac:dyDescent="0.2">
      <c r="A96" s="2" t="s">
        <v>52</v>
      </c>
      <c r="B96" s="1"/>
      <c r="C96" s="1"/>
      <c r="D96" s="31" t="s">
        <v>142</v>
      </c>
      <c r="E96" s="31" t="s">
        <v>117</v>
      </c>
      <c r="F96" s="31" t="s">
        <v>118</v>
      </c>
      <c r="G96" s="31" t="s">
        <v>119</v>
      </c>
      <c r="H96" s="31" t="s">
        <v>120</v>
      </c>
      <c r="I96" s="31" t="s">
        <v>121</v>
      </c>
      <c r="J96" s="31" t="s">
        <v>122</v>
      </c>
      <c r="K96" s="31" t="s">
        <v>123</v>
      </c>
      <c r="L96" s="31" t="s">
        <v>124</v>
      </c>
      <c r="M96" s="31" t="s">
        <v>125</v>
      </c>
    </row>
    <row r="97" spans="1:13" ht="12.75" x14ac:dyDescent="0.2">
      <c r="A97" s="1"/>
      <c r="B97" s="1"/>
      <c r="C97" s="1"/>
      <c r="D97" s="3"/>
      <c r="E97" s="3"/>
      <c r="F97" s="3"/>
      <c r="G97" s="3"/>
      <c r="H97" s="3"/>
      <c r="I97" s="3"/>
      <c r="J97" s="3"/>
      <c r="K97" s="3"/>
      <c r="L97" s="3"/>
      <c r="M97" s="3"/>
    </row>
    <row r="98" spans="1:13" ht="12.75" x14ac:dyDescent="0.2">
      <c r="A98" s="2" t="s">
        <v>50</v>
      </c>
      <c r="B98" s="1"/>
      <c r="C98" s="1"/>
      <c r="D98" s="16">
        <f t="shared" ref="D98:M98" si="20">D85</f>
        <v>34198.26</v>
      </c>
      <c r="E98" s="16">
        <f t="shared" si="20"/>
        <v>34882.225200000008</v>
      </c>
      <c r="F98" s="16">
        <f t="shared" si="20"/>
        <v>35579.869703999997</v>
      </c>
      <c r="G98" s="16">
        <f t="shared" si="20"/>
        <v>36291.467098080007</v>
      </c>
      <c r="H98" s="16">
        <f t="shared" si="20"/>
        <v>37017.296440041602</v>
      </c>
      <c r="I98" s="16">
        <f t="shared" si="20"/>
        <v>37757.642368842433</v>
      </c>
      <c r="J98" s="16">
        <f t="shared" si="20"/>
        <v>38512.795216219281</v>
      </c>
      <c r="K98" s="16">
        <f t="shared" si="20"/>
        <v>39283.051120543678</v>
      </c>
      <c r="L98" s="16">
        <f t="shared" si="20"/>
        <v>40068.712142954551</v>
      </c>
      <c r="M98" s="16">
        <f t="shared" si="20"/>
        <v>40870.086385813636</v>
      </c>
    </row>
    <row r="99" spans="1:13" ht="12.75" x14ac:dyDescent="0.2">
      <c r="A99" s="2" t="s">
        <v>53</v>
      </c>
      <c r="B99" s="1"/>
      <c r="C99" s="1"/>
      <c r="D99" s="16">
        <f t="shared" ref="D99:M99" si="21">D92-D114</f>
        <v>15284.663120827514</v>
      </c>
      <c r="E99" s="16">
        <f t="shared" si="21"/>
        <v>14757.883892810023</v>
      </c>
      <c r="F99" s="16">
        <f t="shared" si="21"/>
        <v>14209.642866264905</v>
      </c>
      <c r="G99" s="16">
        <f t="shared" si="21"/>
        <v>13639.065654406491</v>
      </c>
      <c r="H99" s="16">
        <f t="shared" si="21"/>
        <v>13045.242246581991</v>
      </c>
      <c r="I99" s="16">
        <f t="shared" si="21"/>
        <v>12427.22555690095</v>
      </c>
      <c r="J99" s="16">
        <f t="shared" si="21"/>
        <v>11784.029913732018</v>
      </c>
      <c r="K99" s="16">
        <f t="shared" si="21"/>
        <v>11114.62948766123</v>
      </c>
      <c r="L99" s="16">
        <f t="shared" si="21"/>
        <v>10417.956655400973</v>
      </c>
      <c r="M99" s="16">
        <f t="shared" si="21"/>
        <v>9692.9002970442452</v>
      </c>
    </row>
    <row r="100" spans="1:13" ht="12.75" x14ac:dyDescent="0.2">
      <c r="A100" s="2" t="s">
        <v>54</v>
      </c>
      <c r="B100" s="1"/>
      <c r="C100" s="1"/>
      <c r="D100" s="16">
        <f>H52</f>
        <v>15167.272727272728</v>
      </c>
      <c r="E100" s="16">
        <f t="shared" ref="E100:M100" si="22">D100</f>
        <v>15167.272727272728</v>
      </c>
      <c r="F100" s="16">
        <f t="shared" si="22"/>
        <v>15167.272727272728</v>
      </c>
      <c r="G100" s="16">
        <f t="shared" si="22"/>
        <v>15167.272727272728</v>
      </c>
      <c r="H100" s="16">
        <f t="shared" si="22"/>
        <v>15167.272727272728</v>
      </c>
      <c r="I100" s="16">
        <f t="shared" si="22"/>
        <v>15167.272727272728</v>
      </c>
      <c r="J100" s="16">
        <f t="shared" si="22"/>
        <v>15167.272727272728</v>
      </c>
      <c r="K100" s="16">
        <f t="shared" si="22"/>
        <v>15167.272727272728</v>
      </c>
      <c r="L100" s="16">
        <f t="shared" si="22"/>
        <v>15167.272727272728</v>
      </c>
      <c r="M100" s="16">
        <f t="shared" si="22"/>
        <v>15167.272727272728</v>
      </c>
    </row>
    <row r="101" spans="1:13" ht="12.75" x14ac:dyDescent="0.2">
      <c r="A101" s="2" t="s">
        <v>55</v>
      </c>
      <c r="B101" s="1"/>
      <c r="C101" s="1"/>
      <c r="D101" s="16">
        <f t="shared" ref="D101:M101" si="23">D98-D99-D100</f>
        <v>3746.3241518997602</v>
      </c>
      <c r="E101" s="16">
        <f t="shared" si="23"/>
        <v>4957.068579917257</v>
      </c>
      <c r="F101" s="16">
        <f t="shared" si="23"/>
        <v>6202.954110462364</v>
      </c>
      <c r="G101" s="16">
        <f t="shared" si="23"/>
        <v>7485.1287164007881</v>
      </c>
      <c r="H101" s="16">
        <f t="shared" si="23"/>
        <v>8804.7814661868833</v>
      </c>
      <c r="I101" s="16">
        <f t="shared" si="23"/>
        <v>10163.144084668755</v>
      </c>
      <c r="J101" s="16">
        <f t="shared" si="23"/>
        <v>11561.492575214535</v>
      </c>
      <c r="K101" s="16">
        <f t="shared" si="23"/>
        <v>13001.14890560972</v>
      </c>
      <c r="L101" s="16">
        <f t="shared" si="23"/>
        <v>14483.482760280851</v>
      </c>
      <c r="M101" s="16">
        <f t="shared" si="23"/>
        <v>16009.913361496663</v>
      </c>
    </row>
    <row r="102" spans="1:13" ht="12.75" x14ac:dyDescent="0.2">
      <c r="A102" s="2" t="s">
        <v>56</v>
      </c>
      <c r="B102" s="1"/>
      <c r="C102" s="18">
        <f>H38/100</f>
        <v>0.22</v>
      </c>
      <c r="D102" s="14">
        <f>C102</f>
        <v>0.22</v>
      </c>
      <c r="E102" s="14">
        <f>C102</f>
        <v>0.22</v>
      </c>
      <c r="F102" s="14">
        <f>C102</f>
        <v>0.22</v>
      </c>
      <c r="G102" s="14">
        <f>C102</f>
        <v>0.22</v>
      </c>
      <c r="H102" s="14">
        <f>C102</f>
        <v>0.22</v>
      </c>
      <c r="I102" s="14">
        <f>C102</f>
        <v>0.22</v>
      </c>
      <c r="J102" s="14">
        <f>C102</f>
        <v>0.22</v>
      </c>
      <c r="K102" s="14">
        <f>C102</f>
        <v>0.22</v>
      </c>
      <c r="L102" s="14">
        <f>C102</f>
        <v>0.22</v>
      </c>
      <c r="M102" s="14">
        <f>C102</f>
        <v>0.22</v>
      </c>
    </row>
    <row r="103" spans="1:13" ht="12.75" x14ac:dyDescent="0.2">
      <c r="A103" s="2" t="s">
        <v>52</v>
      </c>
      <c r="B103" s="1"/>
      <c r="C103" s="1"/>
      <c r="D103" s="16">
        <f t="shared" ref="D103:M103" si="24">D101*D102*-1</f>
        <v>-824.1913134179473</v>
      </c>
      <c r="E103" s="16">
        <f t="shared" si="24"/>
        <v>-1090.5550875817964</v>
      </c>
      <c r="F103" s="16">
        <f t="shared" si="24"/>
        <v>-1364.6499043017202</v>
      </c>
      <c r="G103" s="16">
        <f t="shared" si="24"/>
        <v>-1646.7283176081735</v>
      </c>
      <c r="H103" s="16">
        <f t="shared" si="24"/>
        <v>-1937.0519225611145</v>
      </c>
      <c r="I103" s="16">
        <f t="shared" si="24"/>
        <v>-2235.8916986271261</v>
      </c>
      <c r="J103" s="16">
        <f t="shared" si="24"/>
        <v>-2543.5283665471979</v>
      </c>
      <c r="K103" s="16">
        <f t="shared" si="24"/>
        <v>-2860.2527592341385</v>
      </c>
      <c r="L103" s="16">
        <f t="shared" si="24"/>
        <v>-3186.3662072617872</v>
      </c>
      <c r="M103" s="16">
        <f t="shared" si="24"/>
        <v>-3522.1809395292657</v>
      </c>
    </row>
    <row r="104" spans="1:13" ht="12.75" x14ac:dyDescent="0.2">
      <c r="A104" s="1"/>
      <c r="B104" s="1"/>
      <c r="C104" s="1"/>
      <c r="D104" s="3"/>
      <c r="E104" s="3"/>
      <c r="F104" s="3"/>
      <c r="G104" s="3"/>
      <c r="H104" s="3"/>
      <c r="I104" s="3"/>
      <c r="J104" s="3"/>
      <c r="K104" s="3"/>
      <c r="L104" s="3"/>
      <c r="M104" s="3"/>
    </row>
    <row r="105" spans="1:13" ht="12.75" x14ac:dyDescent="0.2">
      <c r="A105" s="1"/>
      <c r="B105" s="1"/>
      <c r="C105" s="1"/>
      <c r="D105" s="3"/>
      <c r="E105" s="3"/>
      <c r="F105" s="3"/>
      <c r="G105" s="3"/>
      <c r="H105" s="3"/>
      <c r="I105" s="3"/>
      <c r="J105" s="3"/>
      <c r="K105" s="3"/>
      <c r="L105" s="3"/>
      <c r="M105" s="3"/>
    </row>
    <row r="106" spans="1:13" ht="12.75" x14ac:dyDescent="0.2">
      <c r="A106" s="1"/>
      <c r="B106" s="1"/>
      <c r="C106" s="1"/>
      <c r="D106" s="3"/>
      <c r="E106" s="3"/>
      <c r="F106" s="3"/>
      <c r="G106" s="3"/>
      <c r="H106" s="3"/>
      <c r="I106" s="3"/>
      <c r="J106" s="3"/>
      <c r="K106" s="3"/>
      <c r="L106" s="3"/>
      <c r="M106" s="3"/>
    </row>
    <row r="107" spans="1:13" ht="12.75" x14ac:dyDescent="0.2">
      <c r="A107" s="2" t="s">
        <v>104</v>
      </c>
      <c r="B107" s="1"/>
      <c r="C107" s="1"/>
      <c r="D107" s="31" t="s">
        <v>142</v>
      </c>
      <c r="E107" s="31" t="s">
        <v>117</v>
      </c>
      <c r="F107" s="31" t="s">
        <v>118</v>
      </c>
      <c r="G107" s="31" t="s">
        <v>119</v>
      </c>
      <c r="H107" s="31" t="s">
        <v>120</v>
      </c>
      <c r="I107" s="31" t="s">
        <v>121</v>
      </c>
      <c r="J107" s="31" t="s">
        <v>122</v>
      </c>
      <c r="K107" s="31" t="s">
        <v>123</v>
      </c>
      <c r="L107" s="31" t="s">
        <v>124</v>
      </c>
      <c r="M107" s="31" t="s">
        <v>125</v>
      </c>
    </row>
    <row r="108" spans="1:13" ht="12.75" x14ac:dyDescent="0.2">
      <c r="A108" s="1"/>
      <c r="B108" s="1"/>
      <c r="C108" s="1"/>
      <c r="D108" s="3"/>
      <c r="E108" s="3"/>
      <c r="F108" s="3"/>
      <c r="G108" s="3"/>
      <c r="H108" s="3"/>
      <c r="I108" s="3"/>
      <c r="J108" s="3"/>
      <c r="K108" s="3"/>
      <c r="L108" s="3"/>
      <c r="M108" s="3"/>
    </row>
    <row r="109" spans="1:13" ht="12.75" x14ac:dyDescent="0.2">
      <c r="A109" s="2" t="s">
        <v>146</v>
      </c>
      <c r="B109" s="1"/>
      <c r="C109" s="1"/>
      <c r="D109" s="16">
        <f>B51</f>
        <v>388000</v>
      </c>
      <c r="E109" s="16">
        <f t="shared" ref="E109:M109" si="25">D113</f>
        <v>375070.21898864658</v>
      </c>
      <c r="F109" s="16">
        <f t="shared" si="25"/>
        <v>361613.65874927567</v>
      </c>
      <c r="G109" s="16">
        <f t="shared" si="25"/>
        <v>347608.85748335964</v>
      </c>
      <c r="H109" s="16">
        <f t="shared" si="25"/>
        <v>333033.47900558519</v>
      </c>
      <c r="I109" s="16">
        <f t="shared" si="25"/>
        <v>317864.27711998625</v>
      </c>
      <c r="J109" s="16">
        <f t="shared" si="25"/>
        <v>302077.05854470626</v>
      </c>
      <c r="K109" s="16">
        <f t="shared" si="25"/>
        <v>285646.64432625734</v>
      </c>
      <c r="L109" s="16">
        <f t="shared" si="25"/>
        <v>268546.82968173764</v>
      </c>
      <c r="M109" s="16">
        <f t="shared" si="25"/>
        <v>250750.34220495768</v>
      </c>
    </row>
    <row r="110" spans="1:13" ht="12.75" hidden="1" x14ac:dyDescent="0.2">
      <c r="A110" s="2" t="s">
        <v>57</v>
      </c>
      <c r="B110" s="1"/>
      <c r="C110" s="1"/>
      <c r="D110" s="19">
        <f>D109*(1+E49/12)^12</f>
        <v>403807.71865287883</v>
      </c>
      <c r="E110" s="19">
        <f>D109*(1+E49/12)^24</f>
        <v>420259.46815371787</v>
      </c>
      <c r="F110" s="19">
        <f>D109*(1+E49/12)^36</f>
        <v>437381.48731295095</v>
      </c>
      <c r="G110" s="19">
        <f>D109*(1+E49/12)^48</f>
        <v>455201.08395063353</v>
      </c>
      <c r="H110" s="19">
        <f>D109*(1+E49/12)^60</f>
        <v>473746.67844954354</v>
      </c>
      <c r="I110" s="19">
        <f>D109*(1+E49/12)^72</f>
        <v>493047.84908270393</v>
      </c>
      <c r="J110" s="19">
        <f>D109*(1+E49/12)^84</f>
        <v>513135.37918761745</v>
      </c>
      <c r="K110" s="19">
        <f>D109*(1+E49/12)^96</f>
        <v>534041.30626245285</v>
      </c>
      <c r="L110" s="19">
        <f>D109*(1+E49/12)^108</f>
        <v>555798.97306248557</v>
      </c>
      <c r="M110" s="19">
        <f>D109*(1+E49/12)^120</f>
        <v>578443.08077828656</v>
      </c>
    </row>
    <row r="111" spans="1:13" ht="12.75" hidden="1" x14ac:dyDescent="0.2">
      <c r="A111" s="2" t="s">
        <v>58</v>
      </c>
      <c r="B111" s="1"/>
      <c r="C111" s="1"/>
      <c r="D111" s="20">
        <f>(1+E49/12)^12-1</f>
        <v>4.0741542919790819E-2</v>
      </c>
      <c r="E111" s="20">
        <f>(1+E49/12)^24-1</f>
        <v>8.3142959159066665E-2</v>
      </c>
      <c r="F111" s="20">
        <f>(1+E49/12)^36-1</f>
        <v>0.12727187451791488</v>
      </c>
      <c r="G111" s="20">
        <f>(1+E49/12)^48-1</f>
        <v>0.17319866997585964</v>
      </c>
      <c r="H111" s="20">
        <f>(1+E49/12)^60-1</f>
        <v>0.22099659394212257</v>
      </c>
      <c r="I111" s="20">
        <f>(1+E49/12)^72-1</f>
        <v>0.27074187907913383</v>
      </c>
      <c r="J111" s="20">
        <f>(1+E49/12)^84-1</f>
        <v>0.32251386388561198</v>
      </c>
      <c r="K111" s="20">
        <f>(1+E49/12)^96-1</f>
        <v>0.37639511923312585</v>
      </c>
      <c r="L111" s="20">
        <f>(1+E49/12)^108-1</f>
        <v>0.43247158005795261</v>
      </c>
      <c r="M111" s="20">
        <f>(1+E49/12)^120-1</f>
        <v>0.49083268241826428</v>
      </c>
    </row>
    <row r="112" spans="1:13" ht="12.75" hidden="1" x14ac:dyDescent="0.2">
      <c r="A112" s="2" t="s">
        <v>59</v>
      </c>
      <c r="B112" s="1"/>
      <c r="C112" s="1"/>
      <c r="D112" s="19">
        <f>(E51)/(E49/12)*(D111)</f>
        <v>28737.49966423224</v>
      </c>
      <c r="E112" s="19">
        <f>(E51)/(E49/12)*(E111)</f>
        <v>58645.809404442181</v>
      </c>
      <c r="F112" s="19">
        <f>(E51)/(E49/12)*(F111)</f>
        <v>89772.629829591286</v>
      </c>
      <c r="G112" s="19">
        <f>(E51)/(E49/12)*(G111)</f>
        <v>122167.60494504837</v>
      </c>
      <c r="H112" s="19">
        <f>(E51)/(E49/12)*(H111)</f>
        <v>155882.40132955729</v>
      </c>
      <c r="I112" s="19">
        <f>(E51)/(E49/12)*(I111)</f>
        <v>190970.79053799767</v>
      </c>
      <c r="J112" s="19">
        <f>(E51)/(E49/12)*(J111)</f>
        <v>227488.73486136011</v>
      </c>
      <c r="K112" s="19">
        <f>(E51)/(E49/12)*(K111)</f>
        <v>265494.47658071521</v>
      </c>
      <c r="L112" s="19">
        <f>(E51)/(E49/12)*(L111)</f>
        <v>305048.6308575279</v>
      </c>
      <c r="M112" s="19">
        <f>(E51)/(E49/12)*(M111)</f>
        <v>346214.28240846557</v>
      </c>
    </row>
    <row r="113" spans="1:13" ht="12.75" x14ac:dyDescent="0.2">
      <c r="A113" s="2" t="s">
        <v>145</v>
      </c>
      <c r="B113" s="1"/>
      <c r="C113" s="1"/>
      <c r="D113" s="16">
        <f t="shared" ref="D113:M113" si="26">D110-D112</f>
        <v>375070.21898864658</v>
      </c>
      <c r="E113" s="16">
        <f t="shared" si="26"/>
        <v>361613.65874927567</v>
      </c>
      <c r="F113" s="16">
        <f t="shared" si="26"/>
        <v>347608.85748335964</v>
      </c>
      <c r="G113" s="16">
        <f t="shared" si="26"/>
        <v>333033.47900558519</v>
      </c>
      <c r="H113" s="16">
        <f t="shared" si="26"/>
        <v>317864.27711998625</v>
      </c>
      <c r="I113" s="16">
        <f t="shared" si="26"/>
        <v>302077.05854470626</v>
      </c>
      <c r="J113" s="16">
        <f t="shared" si="26"/>
        <v>285646.64432625734</v>
      </c>
      <c r="K113" s="16">
        <f t="shared" si="26"/>
        <v>268546.82968173764</v>
      </c>
      <c r="L113" s="16">
        <f t="shared" si="26"/>
        <v>250750.34220495768</v>
      </c>
      <c r="M113" s="16">
        <f t="shared" si="26"/>
        <v>232228.79836982099</v>
      </c>
    </row>
    <row r="114" spans="1:13" ht="12.75" x14ac:dyDescent="0.2">
      <c r="A114" s="2" t="s">
        <v>105</v>
      </c>
      <c r="B114" s="1"/>
      <c r="C114" s="1"/>
      <c r="D114" s="16">
        <f t="shared" ref="D114:M114" si="27">D109-D113</f>
        <v>12929.781011353421</v>
      </c>
      <c r="E114" s="16">
        <f t="shared" si="27"/>
        <v>13456.560239370912</v>
      </c>
      <c r="F114" s="16">
        <f t="shared" si="27"/>
        <v>14004.80126591603</v>
      </c>
      <c r="G114" s="16">
        <f t="shared" si="27"/>
        <v>14575.378477774444</v>
      </c>
      <c r="H114" s="16">
        <f t="shared" si="27"/>
        <v>15169.201885598945</v>
      </c>
      <c r="I114" s="16">
        <f t="shared" si="27"/>
        <v>15787.218575279985</v>
      </c>
      <c r="J114" s="16">
        <f t="shared" si="27"/>
        <v>16430.414218448917</v>
      </c>
      <c r="K114" s="16">
        <f t="shared" si="27"/>
        <v>17099.814644519705</v>
      </c>
      <c r="L114" s="16">
        <f t="shared" si="27"/>
        <v>17796.487476779963</v>
      </c>
      <c r="M114" s="16">
        <f t="shared" si="27"/>
        <v>18521.54383513669</v>
      </c>
    </row>
    <row r="115" spans="1:13" ht="12.75" x14ac:dyDescent="0.2">
      <c r="A115" s="1"/>
      <c r="B115" s="1"/>
      <c r="C115" s="1"/>
      <c r="D115" s="3"/>
      <c r="E115" s="3"/>
      <c r="F115" s="3"/>
      <c r="G115" s="3"/>
      <c r="H115" s="3"/>
      <c r="I115" s="3"/>
      <c r="J115" s="3"/>
      <c r="K115" s="3"/>
      <c r="L115" s="3"/>
      <c r="M115" s="3"/>
    </row>
    <row r="116" spans="1:13" ht="12.75" x14ac:dyDescent="0.2">
      <c r="A116" s="1"/>
      <c r="B116" s="1"/>
      <c r="C116" s="1"/>
      <c r="D116" s="3"/>
      <c r="E116" s="3"/>
      <c r="F116" s="3"/>
      <c r="G116" s="3"/>
      <c r="H116" s="3"/>
      <c r="I116" s="3"/>
      <c r="J116" s="3"/>
      <c r="K116" s="3"/>
      <c r="L116" s="3"/>
      <c r="M116" s="3"/>
    </row>
    <row r="117" spans="1:13" ht="12.75" x14ac:dyDescent="0.2">
      <c r="A117" s="1"/>
      <c r="B117" s="1"/>
      <c r="C117" s="1"/>
      <c r="D117" s="3"/>
      <c r="E117" s="3"/>
      <c r="F117" s="3"/>
      <c r="G117" s="3"/>
      <c r="H117" s="3"/>
      <c r="I117" s="3"/>
      <c r="J117" s="3"/>
      <c r="K117" s="3"/>
      <c r="L117" s="3"/>
      <c r="M117" s="3"/>
    </row>
    <row r="118" spans="1:13" ht="12.75" x14ac:dyDescent="0.2">
      <c r="A118" s="2" t="s">
        <v>144</v>
      </c>
      <c r="B118" s="1"/>
      <c r="C118" s="1"/>
      <c r="D118" s="31" t="s">
        <v>142</v>
      </c>
      <c r="E118" s="31" t="s">
        <v>117</v>
      </c>
      <c r="F118" s="31" t="s">
        <v>118</v>
      </c>
      <c r="G118" s="31" t="s">
        <v>119</v>
      </c>
      <c r="H118" s="31" t="s">
        <v>120</v>
      </c>
      <c r="I118" s="31" t="s">
        <v>121</v>
      </c>
      <c r="J118" s="31" t="s">
        <v>122</v>
      </c>
      <c r="K118" s="31" t="s">
        <v>123</v>
      </c>
      <c r="L118" s="31" t="s">
        <v>124</v>
      </c>
      <c r="M118" s="31" t="s">
        <v>125</v>
      </c>
    </row>
    <row r="119" spans="1:13" ht="12.75" x14ac:dyDescent="0.2">
      <c r="A119" s="1"/>
      <c r="B119" s="1"/>
      <c r="C119" s="1"/>
      <c r="D119" s="3"/>
      <c r="E119" s="3"/>
      <c r="F119" s="3"/>
      <c r="G119" s="3"/>
      <c r="H119" s="3"/>
      <c r="I119" s="3"/>
      <c r="J119" s="3"/>
      <c r="K119" s="3"/>
      <c r="L119" s="3"/>
      <c r="M119" s="3"/>
    </row>
    <row r="120" spans="1:13" ht="12.75" x14ac:dyDescent="0.2">
      <c r="A120" s="2" t="s">
        <v>147</v>
      </c>
      <c r="B120" s="1"/>
      <c r="C120" s="18">
        <f>H37/100</f>
        <v>0.02</v>
      </c>
      <c r="D120" s="14">
        <f>C120</f>
        <v>0.02</v>
      </c>
      <c r="E120" s="14">
        <f>C120</f>
        <v>0.02</v>
      </c>
      <c r="F120" s="14">
        <f>C120</f>
        <v>0.02</v>
      </c>
      <c r="G120" s="14">
        <f>C120</f>
        <v>0.02</v>
      </c>
      <c r="H120" s="14">
        <f>C120</f>
        <v>0.02</v>
      </c>
      <c r="I120" s="14">
        <f>C120</f>
        <v>0.02</v>
      </c>
      <c r="J120" s="14">
        <f>C120</f>
        <v>0.02</v>
      </c>
      <c r="K120" s="14">
        <f>C120</f>
        <v>0.02</v>
      </c>
      <c r="L120" s="14">
        <f>C120</f>
        <v>0.02</v>
      </c>
      <c r="M120" s="14">
        <f>C120</f>
        <v>0.02</v>
      </c>
    </row>
    <row r="121" spans="1:13" ht="12.75" x14ac:dyDescent="0.2">
      <c r="A121" s="2" t="s">
        <v>112</v>
      </c>
      <c r="B121" s="1"/>
      <c r="C121" s="1"/>
      <c r="D121" s="16">
        <f>B49</f>
        <v>485000</v>
      </c>
      <c r="E121" s="16">
        <f t="shared" ref="E121:M121" si="28">D122</f>
        <v>494700</v>
      </c>
      <c r="F121" s="16">
        <f t="shared" si="28"/>
        <v>504594</v>
      </c>
      <c r="G121" s="16">
        <f t="shared" si="28"/>
        <v>514685.88</v>
      </c>
      <c r="H121" s="16">
        <f t="shared" si="28"/>
        <v>524979.59759999998</v>
      </c>
      <c r="I121" s="16">
        <f t="shared" si="28"/>
        <v>535479.18955200003</v>
      </c>
      <c r="J121" s="16">
        <f t="shared" si="28"/>
        <v>546188.77334304003</v>
      </c>
      <c r="K121" s="16">
        <f t="shared" si="28"/>
        <v>557112.54880990088</v>
      </c>
      <c r="L121" s="16">
        <f t="shared" si="28"/>
        <v>568254.79978609888</v>
      </c>
      <c r="M121" s="16">
        <f t="shared" si="28"/>
        <v>579619.89578182087</v>
      </c>
    </row>
    <row r="122" spans="1:13" ht="12.75" x14ac:dyDescent="0.2">
      <c r="A122" s="2" t="s">
        <v>60</v>
      </c>
      <c r="B122" s="1"/>
      <c r="C122" s="1"/>
      <c r="D122" s="16">
        <f t="shared" ref="D122:M122" si="29">(1+D120)*D121</f>
        <v>494700</v>
      </c>
      <c r="E122" s="16">
        <f t="shared" si="29"/>
        <v>504594</v>
      </c>
      <c r="F122" s="16">
        <f t="shared" si="29"/>
        <v>514685.88</v>
      </c>
      <c r="G122" s="16">
        <f t="shared" si="29"/>
        <v>524979.59759999998</v>
      </c>
      <c r="H122" s="16">
        <f t="shared" si="29"/>
        <v>535479.18955200003</v>
      </c>
      <c r="I122" s="16">
        <f t="shared" si="29"/>
        <v>546188.77334304003</v>
      </c>
      <c r="J122" s="16">
        <f t="shared" si="29"/>
        <v>557112.54880990088</v>
      </c>
      <c r="K122" s="16">
        <f t="shared" si="29"/>
        <v>568254.79978609888</v>
      </c>
      <c r="L122" s="16">
        <f t="shared" si="29"/>
        <v>579619.89578182087</v>
      </c>
      <c r="M122" s="16">
        <f t="shared" si="29"/>
        <v>591212.29369745729</v>
      </c>
    </row>
    <row r="123" spans="1:13" ht="12.75" x14ac:dyDescent="0.2">
      <c r="A123" s="2" t="s">
        <v>148</v>
      </c>
      <c r="B123" s="1"/>
      <c r="C123" s="1"/>
      <c r="D123" s="16">
        <f t="shared" ref="D123:M123" si="30">D122-D121</f>
        <v>9700</v>
      </c>
      <c r="E123" s="16">
        <f t="shared" si="30"/>
        <v>9894</v>
      </c>
      <c r="F123" s="16">
        <f t="shared" si="30"/>
        <v>10091.880000000005</v>
      </c>
      <c r="G123" s="16">
        <f t="shared" si="30"/>
        <v>10293.717599999974</v>
      </c>
      <c r="H123" s="16">
        <f t="shared" si="30"/>
        <v>10499.591952000046</v>
      </c>
      <c r="I123" s="16">
        <f t="shared" si="30"/>
        <v>10709.583791040001</v>
      </c>
      <c r="J123" s="16">
        <f t="shared" si="30"/>
        <v>10923.775466860854</v>
      </c>
      <c r="K123" s="16">
        <f t="shared" si="30"/>
        <v>11142.250976198004</v>
      </c>
      <c r="L123" s="16">
        <f t="shared" si="30"/>
        <v>11365.095995721989</v>
      </c>
      <c r="M123" s="16">
        <f t="shared" si="30"/>
        <v>11592.397915636422</v>
      </c>
    </row>
    <row r="124" spans="1:13" ht="12.75" x14ac:dyDescent="0.2">
      <c r="A124" s="1"/>
      <c r="B124" s="1"/>
      <c r="C124" s="1"/>
      <c r="D124" s="3"/>
      <c r="E124" s="3"/>
      <c r="F124" s="3"/>
      <c r="G124" s="3"/>
      <c r="H124" s="3"/>
      <c r="I124" s="3"/>
      <c r="J124" s="3"/>
      <c r="K124" s="3"/>
      <c r="L124" s="3"/>
      <c r="M124" s="3"/>
    </row>
    <row r="125" spans="1:13" ht="12.75" x14ac:dyDescent="0.2">
      <c r="A125" s="1"/>
      <c r="B125" s="1"/>
      <c r="C125" s="1"/>
      <c r="D125" s="3"/>
      <c r="E125" s="2" t="s">
        <v>106</v>
      </c>
      <c r="F125" s="3"/>
      <c r="G125" s="3"/>
      <c r="H125" s="3"/>
      <c r="I125" s="3"/>
      <c r="J125" s="3"/>
      <c r="K125" s="3"/>
      <c r="L125" s="4" t="s">
        <v>182</v>
      </c>
      <c r="M125" s="3"/>
    </row>
    <row r="126" spans="1:13" ht="12.75" x14ac:dyDescent="0.2">
      <c r="A126" s="1"/>
      <c r="B126" s="1"/>
      <c r="C126" s="1"/>
      <c r="D126" s="3"/>
      <c r="E126" s="3"/>
      <c r="F126" s="3"/>
      <c r="G126" s="3"/>
      <c r="H126" s="3"/>
      <c r="I126" s="3"/>
      <c r="J126" s="3"/>
      <c r="K126" s="3"/>
      <c r="L126" s="3"/>
      <c r="M126" s="3"/>
    </row>
    <row r="127" spans="1:13" ht="12.75" x14ac:dyDescent="0.2">
      <c r="A127" s="2" t="s">
        <v>149</v>
      </c>
      <c r="B127" s="1"/>
      <c r="C127" s="1"/>
      <c r="D127" s="3"/>
      <c r="E127" s="3"/>
      <c r="F127" s="3"/>
      <c r="G127" s="3"/>
      <c r="H127" s="3"/>
      <c r="I127" s="3"/>
      <c r="J127" s="3"/>
      <c r="K127" s="3"/>
      <c r="L127" s="3"/>
      <c r="M127" s="3"/>
    </row>
    <row r="128" spans="1:13" ht="12.75" x14ac:dyDescent="0.2">
      <c r="A128" s="1"/>
      <c r="B128" s="1"/>
      <c r="C128" s="1"/>
      <c r="D128" s="3"/>
      <c r="E128" s="3"/>
      <c r="F128" s="3"/>
      <c r="G128" s="3"/>
      <c r="H128" s="3"/>
      <c r="I128" s="3"/>
      <c r="J128" s="3"/>
      <c r="K128" s="3"/>
      <c r="L128" s="3"/>
      <c r="M128" s="3"/>
    </row>
    <row r="129" spans="1:13" ht="12.75" x14ac:dyDescent="0.2">
      <c r="A129" s="1"/>
      <c r="B129" s="1"/>
      <c r="C129" s="1"/>
      <c r="D129" s="31" t="s">
        <v>142</v>
      </c>
      <c r="E129" s="31" t="s">
        <v>117</v>
      </c>
      <c r="F129" s="31" t="s">
        <v>118</v>
      </c>
      <c r="G129" s="31" t="s">
        <v>119</v>
      </c>
      <c r="H129" s="31" t="s">
        <v>120</v>
      </c>
      <c r="I129" s="31" t="s">
        <v>121</v>
      </c>
      <c r="J129" s="31" t="s">
        <v>122</v>
      </c>
      <c r="K129" s="31" t="s">
        <v>123</v>
      </c>
      <c r="L129" s="31" t="s">
        <v>124</v>
      </c>
      <c r="M129" s="31" t="s">
        <v>125</v>
      </c>
    </row>
    <row r="130" spans="1:13" ht="12.75" x14ac:dyDescent="0.2">
      <c r="A130" s="1"/>
      <c r="B130" s="1"/>
      <c r="C130" s="1"/>
      <c r="D130" s="3"/>
      <c r="E130" s="3"/>
      <c r="F130" s="3"/>
      <c r="G130" s="3"/>
      <c r="H130" s="3"/>
      <c r="I130" s="3"/>
      <c r="J130" s="3"/>
      <c r="K130" s="3"/>
      <c r="L130" s="3"/>
      <c r="M130" s="3"/>
    </row>
    <row r="131" spans="1:13" ht="12.75" x14ac:dyDescent="0.2">
      <c r="A131" s="2" t="s">
        <v>61</v>
      </c>
      <c r="B131" s="1"/>
      <c r="C131" s="1"/>
      <c r="D131" s="16">
        <f t="shared" ref="D131:M131" si="31">D93</f>
        <v>5983.8158678190666</v>
      </c>
      <c r="E131" s="16">
        <f t="shared" si="31"/>
        <v>6667.7810678190726</v>
      </c>
      <c r="F131" s="16">
        <f t="shared" si="31"/>
        <v>7365.4255718190616</v>
      </c>
      <c r="G131" s="16">
        <f t="shared" si="31"/>
        <v>8077.022965899072</v>
      </c>
      <c r="H131" s="16">
        <f t="shared" si="31"/>
        <v>8802.8523078606668</v>
      </c>
      <c r="I131" s="16">
        <f t="shared" si="31"/>
        <v>9543.1982366614975</v>
      </c>
      <c r="J131" s="16">
        <f t="shared" si="31"/>
        <v>10298.351084038346</v>
      </c>
      <c r="K131" s="16">
        <f t="shared" si="31"/>
        <v>11068.606988362742</v>
      </c>
      <c r="L131" s="16">
        <f t="shared" si="31"/>
        <v>11854.268010773616</v>
      </c>
      <c r="M131" s="16">
        <f t="shared" si="31"/>
        <v>12655.642253632701</v>
      </c>
    </row>
    <row r="132" spans="1:13" ht="12.75" x14ac:dyDescent="0.2">
      <c r="A132" s="2" t="s">
        <v>62</v>
      </c>
      <c r="B132" s="1"/>
      <c r="C132" s="1"/>
      <c r="D132" s="16">
        <f t="shared" ref="D132:M132" si="32">D103</f>
        <v>-824.1913134179473</v>
      </c>
      <c r="E132" s="16">
        <f t="shared" si="32"/>
        <v>-1090.5550875817964</v>
      </c>
      <c r="F132" s="16">
        <f t="shared" si="32"/>
        <v>-1364.6499043017202</v>
      </c>
      <c r="G132" s="16">
        <f t="shared" si="32"/>
        <v>-1646.7283176081735</v>
      </c>
      <c r="H132" s="16">
        <f t="shared" si="32"/>
        <v>-1937.0519225611145</v>
      </c>
      <c r="I132" s="16">
        <f t="shared" si="32"/>
        <v>-2235.8916986271261</v>
      </c>
      <c r="J132" s="16">
        <f t="shared" si="32"/>
        <v>-2543.5283665471979</v>
      </c>
      <c r="K132" s="16">
        <f t="shared" si="32"/>
        <v>-2860.2527592341385</v>
      </c>
      <c r="L132" s="16">
        <f t="shared" si="32"/>
        <v>-3186.3662072617872</v>
      </c>
      <c r="M132" s="16">
        <f t="shared" si="32"/>
        <v>-3522.1809395292657</v>
      </c>
    </row>
    <row r="133" spans="1:13" ht="12.75" x14ac:dyDescent="0.2">
      <c r="A133" s="2" t="s">
        <v>63</v>
      </c>
      <c r="B133" s="1"/>
      <c r="C133" s="1"/>
      <c r="D133" s="16">
        <f t="shared" ref="D133:M133" si="33">D114</f>
        <v>12929.781011353421</v>
      </c>
      <c r="E133" s="16">
        <f t="shared" si="33"/>
        <v>13456.560239370912</v>
      </c>
      <c r="F133" s="16">
        <f t="shared" si="33"/>
        <v>14004.80126591603</v>
      </c>
      <c r="G133" s="16">
        <f t="shared" si="33"/>
        <v>14575.378477774444</v>
      </c>
      <c r="H133" s="16">
        <f t="shared" si="33"/>
        <v>15169.201885598945</v>
      </c>
      <c r="I133" s="16">
        <f t="shared" si="33"/>
        <v>15787.218575279985</v>
      </c>
      <c r="J133" s="16">
        <f t="shared" si="33"/>
        <v>16430.414218448917</v>
      </c>
      <c r="K133" s="16">
        <f t="shared" si="33"/>
        <v>17099.814644519705</v>
      </c>
      <c r="L133" s="16">
        <f t="shared" si="33"/>
        <v>17796.487476779963</v>
      </c>
      <c r="M133" s="16">
        <f t="shared" si="33"/>
        <v>18521.54383513669</v>
      </c>
    </row>
    <row r="134" spans="1:13" ht="12.75" x14ac:dyDescent="0.2">
      <c r="A134" s="2" t="s">
        <v>64</v>
      </c>
      <c r="B134" s="1"/>
      <c r="C134" s="1"/>
      <c r="D134" s="16">
        <f t="shared" ref="D134:M134" si="34">D123</f>
        <v>9700</v>
      </c>
      <c r="E134" s="16">
        <f t="shared" si="34"/>
        <v>9894</v>
      </c>
      <c r="F134" s="16">
        <f t="shared" si="34"/>
        <v>10091.880000000005</v>
      </c>
      <c r="G134" s="16">
        <f t="shared" si="34"/>
        <v>10293.717599999974</v>
      </c>
      <c r="H134" s="16">
        <f t="shared" si="34"/>
        <v>10499.591952000046</v>
      </c>
      <c r="I134" s="16">
        <f t="shared" si="34"/>
        <v>10709.583791040001</v>
      </c>
      <c r="J134" s="16">
        <f t="shared" si="34"/>
        <v>10923.775466860854</v>
      </c>
      <c r="K134" s="16">
        <f t="shared" si="34"/>
        <v>11142.250976198004</v>
      </c>
      <c r="L134" s="16">
        <f t="shared" si="34"/>
        <v>11365.095995721989</v>
      </c>
      <c r="M134" s="16">
        <f t="shared" si="34"/>
        <v>11592.397915636422</v>
      </c>
    </row>
    <row r="135" spans="1:13" ht="12.75" x14ac:dyDescent="0.2">
      <c r="A135" s="2" t="s">
        <v>65</v>
      </c>
      <c r="B135" s="1"/>
      <c r="C135" s="1"/>
      <c r="D135" s="16">
        <f t="shared" ref="D135:M135" si="35">SUM(D131:D134)</f>
        <v>27789.40556575454</v>
      </c>
      <c r="E135" s="16">
        <f t="shared" si="35"/>
        <v>28927.786219608188</v>
      </c>
      <c r="F135" s="16">
        <f t="shared" si="35"/>
        <v>30097.456933433376</v>
      </c>
      <c r="G135" s="16">
        <f t="shared" si="35"/>
        <v>31299.390726065318</v>
      </c>
      <c r="H135" s="16">
        <f t="shared" si="35"/>
        <v>32534.594222898544</v>
      </c>
      <c r="I135" s="16">
        <f t="shared" si="35"/>
        <v>33804.108904354362</v>
      </c>
      <c r="J135" s="16">
        <f t="shared" si="35"/>
        <v>35109.012402800916</v>
      </c>
      <c r="K135" s="16">
        <f t="shared" si="35"/>
        <v>36450.419849846308</v>
      </c>
      <c r="L135" s="16">
        <f t="shared" si="35"/>
        <v>37829.48527601378</v>
      </c>
      <c r="M135" s="16">
        <f t="shared" si="35"/>
        <v>39247.403064876547</v>
      </c>
    </row>
    <row r="136" spans="1:13" ht="12.75" x14ac:dyDescent="0.2">
      <c r="A136" s="1"/>
      <c r="B136" s="1"/>
      <c r="C136" s="1"/>
      <c r="D136" s="3"/>
      <c r="E136" s="3"/>
      <c r="F136" s="3"/>
      <c r="G136" s="3"/>
      <c r="H136" s="3"/>
      <c r="I136" s="3"/>
      <c r="J136" s="3"/>
      <c r="K136" s="3"/>
      <c r="L136" s="3"/>
      <c r="M136" s="3"/>
    </row>
    <row r="137" spans="1:13" ht="12.75" x14ac:dyDescent="0.2">
      <c r="A137" s="2" t="s">
        <v>66</v>
      </c>
      <c r="B137" s="1"/>
      <c r="C137" s="1"/>
      <c r="D137" s="3"/>
      <c r="E137" s="3"/>
      <c r="F137" s="3"/>
      <c r="G137" s="3"/>
      <c r="H137" s="3"/>
      <c r="I137" s="3"/>
      <c r="J137" s="3"/>
      <c r="K137" s="3"/>
      <c r="L137" s="3"/>
      <c r="M137" s="3"/>
    </row>
    <row r="138" spans="1:13" ht="12.75" x14ac:dyDescent="0.2">
      <c r="A138" s="2" t="s">
        <v>67</v>
      </c>
      <c r="B138" s="1"/>
      <c r="C138" s="1"/>
      <c r="D138" s="16">
        <f>B50</f>
        <v>97000</v>
      </c>
      <c r="E138" s="16">
        <f t="shared" ref="E138:M139" si="36">D138</f>
        <v>97000</v>
      </c>
      <c r="F138" s="16">
        <f t="shared" si="36"/>
        <v>97000</v>
      </c>
      <c r="G138" s="16">
        <f t="shared" si="36"/>
        <v>97000</v>
      </c>
      <c r="H138" s="16">
        <f t="shared" si="36"/>
        <v>97000</v>
      </c>
      <c r="I138" s="16">
        <f t="shared" si="36"/>
        <v>97000</v>
      </c>
      <c r="J138" s="16">
        <f t="shared" si="36"/>
        <v>97000</v>
      </c>
      <c r="K138" s="16">
        <f t="shared" si="36"/>
        <v>97000</v>
      </c>
      <c r="L138" s="16">
        <f t="shared" si="36"/>
        <v>97000</v>
      </c>
      <c r="M138" s="16">
        <f t="shared" si="36"/>
        <v>97000</v>
      </c>
    </row>
    <row r="139" spans="1:13" ht="12.75" x14ac:dyDescent="0.2">
      <c r="A139" s="2" t="s">
        <v>150</v>
      </c>
      <c r="B139" s="1"/>
      <c r="C139" s="1"/>
      <c r="D139" s="21">
        <f>H41</f>
        <v>0</v>
      </c>
      <c r="E139" s="21">
        <f>D139</f>
        <v>0</v>
      </c>
      <c r="F139" s="21">
        <f t="shared" si="36"/>
        <v>0</v>
      </c>
      <c r="G139" s="21">
        <f t="shared" si="36"/>
        <v>0</v>
      </c>
      <c r="H139" s="21">
        <f t="shared" si="36"/>
        <v>0</v>
      </c>
      <c r="I139" s="21">
        <f t="shared" si="36"/>
        <v>0</v>
      </c>
      <c r="J139" s="21">
        <f t="shared" si="36"/>
        <v>0</v>
      </c>
      <c r="K139" s="21">
        <f t="shared" si="36"/>
        <v>0</v>
      </c>
      <c r="L139" s="21">
        <f t="shared" si="36"/>
        <v>0</v>
      </c>
      <c r="M139" s="21">
        <f t="shared" si="36"/>
        <v>0</v>
      </c>
    </row>
    <row r="140" spans="1:13" ht="12.75" x14ac:dyDescent="0.2">
      <c r="A140" s="2" t="s">
        <v>151</v>
      </c>
      <c r="B140" s="1"/>
      <c r="C140" s="1"/>
      <c r="D140" s="16">
        <f>SUM(D138:D139)</f>
        <v>97000</v>
      </c>
      <c r="E140" s="16">
        <f t="shared" ref="E140:M140" si="37">SUM(E138:E139)</f>
        <v>97000</v>
      </c>
      <c r="F140" s="16">
        <f t="shared" si="37"/>
        <v>97000</v>
      </c>
      <c r="G140" s="16">
        <f t="shared" si="37"/>
        <v>97000</v>
      </c>
      <c r="H140" s="16">
        <f t="shared" si="37"/>
        <v>97000</v>
      </c>
      <c r="I140" s="16">
        <f t="shared" si="37"/>
        <v>97000</v>
      </c>
      <c r="J140" s="16">
        <f t="shared" si="37"/>
        <v>97000</v>
      </c>
      <c r="K140" s="16">
        <f t="shared" si="37"/>
        <v>97000</v>
      </c>
      <c r="L140" s="16">
        <f t="shared" si="37"/>
        <v>97000</v>
      </c>
      <c r="M140" s="16">
        <f t="shared" si="37"/>
        <v>97000</v>
      </c>
    </row>
    <row r="141" spans="1:13" ht="12.75" x14ac:dyDescent="0.2">
      <c r="A141" s="1"/>
      <c r="B141" s="1"/>
      <c r="C141" s="1"/>
      <c r="D141" s="3"/>
      <c r="E141" s="3"/>
      <c r="F141" s="3"/>
      <c r="G141" s="3"/>
      <c r="H141" s="3"/>
      <c r="I141" s="3"/>
      <c r="J141" s="3"/>
      <c r="K141" s="3"/>
      <c r="L141" s="3"/>
      <c r="M141" s="3"/>
    </row>
    <row r="142" spans="1:13" ht="12.75" x14ac:dyDescent="0.2">
      <c r="A142" s="2" t="s">
        <v>68</v>
      </c>
      <c r="B142" s="1"/>
      <c r="C142" s="1"/>
      <c r="D142" s="14">
        <f>D135/D140</f>
        <v>0.28648871717272723</v>
      </c>
      <c r="E142" s="14">
        <f t="shared" ref="E142:M142" si="38">E135/E140</f>
        <v>0.29822460020214625</v>
      </c>
      <c r="F142" s="14">
        <f t="shared" si="38"/>
        <v>0.31028306116941623</v>
      </c>
      <c r="G142" s="14">
        <f t="shared" si="38"/>
        <v>0.32267413119654964</v>
      </c>
      <c r="H142" s="14">
        <f t="shared" si="38"/>
        <v>0.33540818786493343</v>
      </c>
      <c r="I142" s="14">
        <f t="shared" si="38"/>
        <v>0.34849596808612743</v>
      </c>
      <c r="J142" s="14">
        <f t="shared" si="38"/>
        <v>0.3619485814721744</v>
      </c>
      <c r="K142" s="14">
        <f t="shared" si="38"/>
        <v>0.37577752422521965</v>
      </c>
      <c r="L142" s="14">
        <f t="shared" si="38"/>
        <v>0.38999469356715238</v>
      </c>
      <c r="M142" s="14">
        <f t="shared" si="38"/>
        <v>0.40461240273068605</v>
      </c>
    </row>
    <row r="143" spans="1:13" ht="12.75" x14ac:dyDescent="0.2">
      <c r="A143" s="1"/>
      <c r="B143" s="1"/>
      <c r="C143" s="1"/>
      <c r="D143" s="3"/>
      <c r="E143" s="3"/>
      <c r="F143" s="3"/>
      <c r="G143" s="3"/>
      <c r="H143" s="3"/>
      <c r="I143" s="3"/>
      <c r="J143" s="3"/>
      <c r="K143" s="3"/>
      <c r="L143" s="3"/>
      <c r="M143" s="3"/>
    </row>
    <row r="144" spans="1:13" ht="12.75" x14ac:dyDescent="0.2">
      <c r="A144" s="1"/>
      <c r="B144" s="1"/>
      <c r="C144" s="1"/>
      <c r="D144" s="3"/>
      <c r="E144" s="3"/>
      <c r="F144" s="3"/>
      <c r="G144" s="3"/>
      <c r="H144" s="3"/>
      <c r="I144" s="3"/>
      <c r="J144" s="3"/>
      <c r="K144" s="3"/>
      <c r="L144" s="3"/>
      <c r="M144" s="3"/>
    </row>
    <row r="145" spans="1:13" ht="12.75" x14ac:dyDescent="0.2">
      <c r="A145" s="2" t="s">
        <v>111</v>
      </c>
      <c r="B145" s="1"/>
      <c r="C145" s="1"/>
      <c r="D145" s="3"/>
      <c r="E145" s="3"/>
      <c r="F145" s="3"/>
      <c r="G145" s="3"/>
      <c r="H145" s="3"/>
      <c r="I145" s="3"/>
      <c r="J145" s="3"/>
      <c r="K145" s="3"/>
      <c r="L145" s="3"/>
      <c r="M145" s="3"/>
    </row>
    <row r="146" spans="1:13" ht="12.75" x14ac:dyDescent="0.2">
      <c r="A146" s="1"/>
      <c r="B146" s="1"/>
      <c r="C146" s="1"/>
      <c r="D146" s="3"/>
      <c r="E146" s="3"/>
      <c r="F146" s="3"/>
      <c r="G146" s="3"/>
      <c r="H146" s="3"/>
      <c r="I146" s="3"/>
      <c r="J146" s="3"/>
      <c r="K146" s="3"/>
      <c r="L146" s="3"/>
      <c r="M146" s="3"/>
    </row>
    <row r="147" spans="1:13" ht="12.75" x14ac:dyDescent="0.2">
      <c r="A147" s="1"/>
      <c r="B147" s="1"/>
      <c r="C147" s="1"/>
      <c r="D147" s="31" t="s">
        <v>142</v>
      </c>
      <c r="E147" s="31" t="s">
        <v>117</v>
      </c>
      <c r="F147" s="31" t="s">
        <v>118</v>
      </c>
      <c r="G147" s="31" t="s">
        <v>119</v>
      </c>
      <c r="H147" s="31" t="s">
        <v>120</v>
      </c>
      <c r="I147" s="31" t="s">
        <v>121</v>
      </c>
      <c r="J147" s="31" t="s">
        <v>122</v>
      </c>
      <c r="K147" s="31" t="s">
        <v>123</v>
      </c>
      <c r="L147" s="31" t="s">
        <v>124</v>
      </c>
      <c r="M147" s="31" t="s">
        <v>125</v>
      </c>
    </row>
    <row r="148" spans="1:13" ht="12.75" x14ac:dyDescent="0.2">
      <c r="A148" s="1"/>
      <c r="B148" s="1"/>
      <c r="C148" s="1"/>
      <c r="D148" s="3"/>
      <c r="E148" s="3"/>
      <c r="F148" s="3"/>
      <c r="G148" s="3"/>
      <c r="H148" s="3"/>
      <c r="I148" s="3"/>
      <c r="J148" s="3"/>
      <c r="K148" s="3"/>
      <c r="L148" s="3"/>
      <c r="M148" s="3"/>
    </row>
    <row r="149" spans="1:13" ht="12.75" x14ac:dyDescent="0.2">
      <c r="A149" s="2" t="s">
        <v>61</v>
      </c>
      <c r="B149" s="1"/>
      <c r="C149" s="1"/>
      <c r="D149" s="16">
        <f t="shared" ref="D149:M153" si="39">D131</f>
        <v>5983.8158678190666</v>
      </c>
      <c r="E149" s="16">
        <f t="shared" si="39"/>
        <v>6667.7810678190726</v>
      </c>
      <c r="F149" s="16">
        <f t="shared" si="39"/>
        <v>7365.4255718190616</v>
      </c>
      <c r="G149" s="16">
        <f t="shared" si="39"/>
        <v>8077.022965899072</v>
      </c>
      <c r="H149" s="16">
        <f t="shared" si="39"/>
        <v>8802.8523078606668</v>
      </c>
      <c r="I149" s="16">
        <f t="shared" si="39"/>
        <v>9543.1982366614975</v>
      </c>
      <c r="J149" s="16">
        <f t="shared" si="39"/>
        <v>10298.351084038346</v>
      </c>
      <c r="K149" s="16">
        <f t="shared" si="39"/>
        <v>11068.606988362742</v>
      </c>
      <c r="L149" s="16">
        <f t="shared" si="39"/>
        <v>11854.268010773616</v>
      </c>
      <c r="M149" s="16">
        <f t="shared" si="39"/>
        <v>12655.642253632701</v>
      </c>
    </row>
    <row r="150" spans="1:13" ht="12.75" x14ac:dyDescent="0.2">
      <c r="A150" s="2" t="s">
        <v>62</v>
      </c>
      <c r="B150" s="1"/>
      <c r="C150" s="1"/>
      <c r="D150" s="16">
        <f t="shared" si="39"/>
        <v>-824.1913134179473</v>
      </c>
      <c r="E150" s="16">
        <f t="shared" si="39"/>
        <v>-1090.5550875817964</v>
      </c>
      <c r="F150" s="16">
        <f t="shared" si="39"/>
        <v>-1364.6499043017202</v>
      </c>
      <c r="G150" s="16">
        <f t="shared" si="39"/>
        <v>-1646.7283176081735</v>
      </c>
      <c r="H150" s="16">
        <f t="shared" si="39"/>
        <v>-1937.0519225611145</v>
      </c>
      <c r="I150" s="16">
        <f t="shared" si="39"/>
        <v>-2235.8916986271261</v>
      </c>
      <c r="J150" s="16">
        <f t="shared" si="39"/>
        <v>-2543.5283665471979</v>
      </c>
      <c r="K150" s="16">
        <f t="shared" si="39"/>
        <v>-2860.2527592341385</v>
      </c>
      <c r="L150" s="16">
        <f t="shared" si="39"/>
        <v>-3186.3662072617872</v>
      </c>
      <c r="M150" s="16">
        <f t="shared" si="39"/>
        <v>-3522.1809395292657</v>
      </c>
    </row>
    <row r="151" spans="1:13" ht="12.75" x14ac:dyDescent="0.2">
      <c r="A151" s="2" t="s">
        <v>63</v>
      </c>
      <c r="B151" s="1"/>
      <c r="C151" s="1"/>
      <c r="D151" s="16">
        <f t="shared" si="39"/>
        <v>12929.781011353421</v>
      </c>
      <c r="E151" s="16">
        <f t="shared" si="39"/>
        <v>13456.560239370912</v>
      </c>
      <c r="F151" s="16">
        <f t="shared" si="39"/>
        <v>14004.80126591603</v>
      </c>
      <c r="G151" s="16">
        <f t="shared" si="39"/>
        <v>14575.378477774444</v>
      </c>
      <c r="H151" s="16">
        <f t="shared" si="39"/>
        <v>15169.201885598945</v>
      </c>
      <c r="I151" s="16">
        <f t="shared" si="39"/>
        <v>15787.218575279985</v>
      </c>
      <c r="J151" s="16">
        <f t="shared" si="39"/>
        <v>16430.414218448917</v>
      </c>
      <c r="K151" s="16">
        <f t="shared" si="39"/>
        <v>17099.814644519705</v>
      </c>
      <c r="L151" s="16">
        <f t="shared" si="39"/>
        <v>17796.487476779963</v>
      </c>
      <c r="M151" s="16">
        <f t="shared" si="39"/>
        <v>18521.54383513669</v>
      </c>
    </row>
    <row r="152" spans="1:13" ht="12.75" x14ac:dyDescent="0.2">
      <c r="A152" s="2" t="s">
        <v>64</v>
      </c>
      <c r="B152" s="1"/>
      <c r="C152" s="1"/>
      <c r="D152" s="16">
        <f t="shared" si="39"/>
        <v>9700</v>
      </c>
      <c r="E152" s="16">
        <f t="shared" si="39"/>
        <v>9894</v>
      </c>
      <c r="F152" s="16">
        <f t="shared" si="39"/>
        <v>10091.880000000005</v>
      </c>
      <c r="G152" s="16">
        <f t="shared" si="39"/>
        <v>10293.717599999974</v>
      </c>
      <c r="H152" s="16">
        <f t="shared" si="39"/>
        <v>10499.591952000046</v>
      </c>
      <c r="I152" s="16">
        <f t="shared" si="39"/>
        <v>10709.583791040001</v>
      </c>
      <c r="J152" s="16">
        <f t="shared" si="39"/>
        <v>10923.775466860854</v>
      </c>
      <c r="K152" s="16">
        <f t="shared" si="39"/>
        <v>11142.250976198004</v>
      </c>
      <c r="L152" s="16">
        <f t="shared" si="39"/>
        <v>11365.095995721989</v>
      </c>
      <c r="M152" s="16">
        <f t="shared" si="39"/>
        <v>11592.397915636422</v>
      </c>
    </row>
    <row r="153" spans="1:13" ht="12.75" x14ac:dyDescent="0.2">
      <c r="A153" s="2" t="s">
        <v>69</v>
      </c>
      <c r="B153" s="1"/>
      <c r="C153" s="1"/>
      <c r="D153" s="16">
        <f t="shared" si="39"/>
        <v>27789.40556575454</v>
      </c>
      <c r="E153" s="16">
        <f t="shared" si="39"/>
        <v>28927.786219608188</v>
      </c>
      <c r="F153" s="16">
        <f t="shared" si="39"/>
        <v>30097.456933433376</v>
      </c>
      <c r="G153" s="16">
        <f t="shared" si="39"/>
        <v>31299.390726065318</v>
      </c>
      <c r="H153" s="16">
        <f t="shared" si="39"/>
        <v>32534.594222898544</v>
      </c>
      <c r="I153" s="16">
        <f t="shared" si="39"/>
        <v>33804.108904354362</v>
      </c>
      <c r="J153" s="16">
        <f t="shared" si="39"/>
        <v>35109.012402800916</v>
      </c>
      <c r="K153" s="16">
        <f t="shared" si="39"/>
        <v>36450.419849846308</v>
      </c>
      <c r="L153" s="16">
        <f t="shared" si="39"/>
        <v>37829.48527601378</v>
      </c>
      <c r="M153" s="16">
        <f t="shared" si="39"/>
        <v>39247.403064876547</v>
      </c>
    </row>
    <row r="154" spans="1:13" ht="12.75" x14ac:dyDescent="0.2">
      <c r="A154" s="1"/>
      <c r="B154" s="1"/>
      <c r="C154" s="1"/>
      <c r="D154" s="3"/>
      <c r="E154" s="3"/>
      <c r="F154" s="3"/>
      <c r="G154" s="3"/>
      <c r="H154" s="3"/>
      <c r="I154" s="3"/>
      <c r="J154" s="3"/>
      <c r="K154" s="3"/>
      <c r="L154" s="3"/>
      <c r="M154" s="3"/>
    </row>
    <row r="155" spans="1:13" ht="12.75" x14ac:dyDescent="0.2">
      <c r="A155" s="2" t="s">
        <v>70</v>
      </c>
      <c r="B155" s="1"/>
      <c r="C155" s="1"/>
      <c r="D155" s="3"/>
      <c r="E155" s="3"/>
      <c r="F155" s="3"/>
      <c r="G155" s="3"/>
      <c r="H155" s="3"/>
      <c r="I155" s="3"/>
      <c r="J155" s="3"/>
      <c r="K155" s="3"/>
      <c r="L155" s="3"/>
      <c r="M155" s="3"/>
    </row>
    <row r="156" spans="1:13" ht="12.75" x14ac:dyDescent="0.2">
      <c r="A156" s="2" t="s">
        <v>152</v>
      </c>
      <c r="B156" s="1"/>
      <c r="C156" s="1"/>
      <c r="D156" s="16">
        <f>D121+$H41</f>
        <v>485000</v>
      </c>
      <c r="E156" s="16">
        <f t="shared" ref="E156:M156" si="40">E121+$H41</f>
        <v>494700</v>
      </c>
      <c r="F156" s="16">
        <f t="shared" si="40"/>
        <v>504594</v>
      </c>
      <c r="G156" s="16">
        <f t="shared" si="40"/>
        <v>514685.88</v>
      </c>
      <c r="H156" s="16">
        <f t="shared" si="40"/>
        <v>524979.59759999998</v>
      </c>
      <c r="I156" s="16">
        <f t="shared" si="40"/>
        <v>535479.18955200003</v>
      </c>
      <c r="J156" s="16">
        <f t="shared" si="40"/>
        <v>546188.77334304003</v>
      </c>
      <c r="K156" s="16">
        <f t="shared" si="40"/>
        <v>557112.54880990088</v>
      </c>
      <c r="L156" s="16">
        <f t="shared" si="40"/>
        <v>568254.79978609888</v>
      </c>
      <c r="M156" s="16">
        <f t="shared" si="40"/>
        <v>579619.89578182087</v>
      </c>
    </row>
    <row r="157" spans="1:13" ht="12.75" x14ac:dyDescent="0.2">
      <c r="A157" s="2" t="s">
        <v>71</v>
      </c>
      <c r="B157" s="1"/>
      <c r="C157" s="1"/>
      <c r="D157" s="16">
        <f t="shared" ref="D157:M157" si="41">D109</f>
        <v>388000</v>
      </c>
      <c r="E157" s="16">
        <f t="shared" si="41"/>
        <v>375070.21898864658</v>
      </c>
      <c r="F157" s="16">
        <f t="shared" si="41"/>
        <v>361613.65874927567</v>
      </c>
      <c r="G157" s="16">
        <f t="shared" si="41"/>
        <v>347608.85748335964</v>
      </c>
      <c r="H157" s="16">
        <f t="shared" si="41"/>
        <v>333033.47900558519</v>
      </c>
      <c r="I157" s="16">
        <f t="shared" si="41"/>
        <v>317864.27711998625</v>
      </c>
      <c r="J157" s="16">
        <f t="shared" si="41"/>
        <v>302077.05854470626</v>
      </c>
      <c r="K157" s="16">
        <f t="shared" si="41"/>
        <v>285646.64432625734</v>
      </c>
      <c r="L157" s="16">
        <f t="shared" si="41"/>
        <v>268546.82968173764</v>
      </c>
      <c r="M157" s="16">
        <f t="shared" si="41"/>
        <v>250750.34220495768</v>
      </c>
    </row>
    <row r="158" spans="1:13" ht="12.75" x14ac:dyDescent="0.2">
      <c r="A158" s="2" t="s">
        <v>72</v>
      </c>
      <c r="B158" s="1"/>
      <c r="C158" s="1"/>
      <c r="D158" s="16">
        <f t="shared" ref="D158:M158" si="42">D156-D157</f>
        <v>97000</v>
      </c>
      <c r="E158" s="16">
        <f t="shared" si="42"/>
        <v>119629.78101135342</v>
      </c>
      <c r="F158" s="16">
        <f t="shared" si="42"/>
        <v>142980.34125072433</v>
      </c>
      <c r="G158" s="16">
        <f t="shared" si="42"/>
        <v>167077.02251664037</v>
      </c>
      <c r="H158" s="16">
        <f t="shared" si="42"/>
        <v>191946.11859441479</v>
      </c>
      <c r="I158" s="16">
        <f t="shared" si="42"/>
        <v>217614.91243201378</v>
      </c>
      <c r="J158" s="16">
        <f t="shared" si="42"/>
        <v>244111.71479833376</v>
      </c>
      <c r="K158" s="16">
        <f t="shared" si="42"/>
        <v>271465.90448364354</v>
      </c>
      <c r="L158" s="16">
        <f t="shared" si="42"/>
        <v>299707.97010436124</v>
      </c>
      <c r="M158" s="16">
        <f t="shared" si="42"/>
        <v>328869.5535768632</v>
      </c>
    </row>
    <row r="159" spans="1:13" ht="12.75" x14ac:dyDescent="0.2">
      <c r="A159" s="1"/>
      <c r="B159" s="1"/>
      <c r="C159" s="1"/>
      <c r="D159" s="3"/>
      <c r="E159" s="3"/>
      <c r="F159" s="3"/>
      <c r="G159" s="3"/>
      <c r="H159" s="3"/>
      <c r="I159" s="3"/>
      <c r="J159" s="3"/>
      <c r="K159" s="3"/>
      <c r="L159" s="3"/>
      <c r="M159" s="3"/>
    </row>
    <row r="160" spans="1:13" ht="12.75" x14ac:dyDescent="0.2">
      <c r="A160" s="2" t="s">
        <v>73</v>
      </c>
      <c r="B160" s="1"/>
      <c r="C160" s="1"/>
      <c r="D160" s="14">
        <f t="shared" ref="D160:M160" si="43">D153/D158</f>
        <v>0.28648871717272723</v>
      </c>
      <c r="E160" s="14">
        <f t="shared" si="43"/>
        <v>0.24181091008486261</v>
      </c>
      <c r="F160" s="14">
        <f t="shared" si="43"/>
        <v>0.21050066512749285</v>
      </c>
      <c r="G160" s="14">
        <f t="shared" si="43"/>
        <v>0.18733510003117271</v>
      </c>
      <c r="H160" s="14">
        <f t="shared" si="43"/>
        <v>0.1694985783570058</v>
      </c>
      <c r="I160" s="14">
        <f t="shared" si="43"/>
        <v>0.15533911957855959</v>
      </c>
      <c r="J160" s="14">
        <f t="shared" si="43"/>
        <v>0.14382354583763121</v>
      </c>
      <c r="K160" s="14">
        <f t="shared" si="43"/>
        <v>0.13427255227200194</v>
      </c>
      <c r="L160" s="14">
        <f t="shared" si="43"/>
        <v>0.12622115208628312</v>
      </c>
      <c r="M160" s="14">
        <f t="shared" si="43"/>
        <v>0.1193403361241942</v>
      </c>
    </row>
    <row r="161" spans="1:13" ht="12.75" x14ac:dyDescent="0.2">
      <c r="A161" s="1"/>
      <c r="B161" s="1"/>
      <c r="C161" s="1"/>
      <c r="D161" s="3"/>
      <c r="E161" s="3"/>
      <c r="F161" s="3"/>
      <c r="G161" s="3"/>
      <c r="H161" s="3"/>
      <c r="I161" s="3"/>
      <c r="J161" s="3"/>
      <c r="K161" s="3"/>
      <c r="L161" s="3"/>
      <c r="M161" s="3"/>
    </row>
    <row r="162" spans="1:13" ht="12.75" x14ac:dyDescent="0.2">
      <c r="A162" s="1"/>
      <c r="B162" s="1"/>
      <c r="C162" s="1"/>
      <c r="D162" s="3"/>
      <c r="E162" s="2" t="s">
        <v>107</v>
      </c>
      <c r="F162" s="3"/>
      <c r="G162" s="3"/>
      <c r="H162" s="3"/>
      <c r="I162" s="3"/>
      <c r="J162" s="3"/>
      <c r="K162" s="3"/>
      <c r="L162" s="3"/>
      <c r="M162" s="3"/>
    </row>
    <row r="163" spans="1:13" ht="12.75" x14ac:dyDescent="0.2">
      <c r="A163" s="1"/>
      <c r="B163" s="1"/>
      <c r="C163" s="1"/>
      <c r="D163" s="3"/>
      <c r="E163" s="3"/>
      <c r="F163" s="3"/>
      <c r="G163" s="3"/>
      <c r="H163" s="3"/>
      <c r="I163" s="3"/>
      <c r="J163" s="3"/>
      <c r="K163" s="3"/>
      <c r="L163" s="3"/>
      <c r="M163" s="3"/>
    </row>
    <row r="164" spans="1:13" ht="12.75" x14ac:dyDescent="0.2">
      <c r="A164" s="1"/>
      <c r="B164" s="1"/>
      <c r="C164" s="1"/>
      <c r="D164" s="31" t="s">
        <v>142</v>
      </c>
      <c r="E164" s="31" t="s">
        <v>117</v>
      </c>
      <c r="F164" s="31" t="s">
        <v>118</v>
      </c>
      <c r="G164" s="31" t="s">
        <v>119</v>
      </c>
      <c r="H164" s="31" t="s">
        <v>120</v>
      </c>
      <c r="I164" s="31" t="s">
        <v>121</v>
      </c>
      <c r="J164" s="31" t="s">
        <v>122</v>
      </c>
      <c r="K164" s="31" t="s">
        <v>123</v>
      </c>
      <c r="L164" s="31" t="s">
        <v>124</v>
      </c>
      <c r="M164" s="31" t="s">
        <v>125</v>
      </c>
    </row>
    <row r="165" spans="1:13" ht="12.75" x14ac:dyDescent="0.2">
      <c r="A165" s="2" t="s">
        <v>74</v>
      </c>
      <c r="B165" s="1"/>
      <c r="C165" s="1"/>
      <c r="D165" s="3"/>
      <c r="E165" s="3"/>
      <c r="F165" s="3"/>
      <c r="G165" s="3"/>
      <c r="H165" s="3"/>
      <c r="I165" s="3"/>
      <c r="J165" s="3"/>
      <c r="K165" s="3"/>
      <c r="L165" s="3"/>
      <c r="M165" s="3"/>
    </row>
    <row r="166" spans="1:13" ht="12.75" x14ac:dyDescent="0.2">
      <c r="A166" s="2" t="s">
        <v>75</v>
      </c>
      <c r="B166" s="1"/>
      <c r="C166" s="1"/>
      <c r="D166" s="16">
        <f>B49+B52</f>
        <v>489850</v>
      </c>
      <c r="E166" s="16">
        <f t="shared" ref="E166:M166" si="44">D166</f>
        <v>489850</v>
      </c>
      <c r="F166" s="16">
        <f t="shared" si="44"/>
        <v>489850</v>
      </c>
      <c r="G166" s="16">
        <f t="shared" si="44"/>
        <v>489850</v>
      </c>
      <c r="H166" s="16">
        <f t="shared" si="44"/>
        <v>489850</v>
      </c>
      <c r="I166" s="16">
        <f t="shared" si="44"/>
        <v>489850</v>
      </c>
      <c r="J166" s="16">
        <f t="shared" si="44"/>
        <v>489850</v>
      </c>
      <c r="K166" s="16">
        <f t="shared" si="44"/>
        <v>489850</v>
      </c>
      <c r="L166" s="16">
        <f t="shared" si="44"/>
        <v>489850</v>
      </c>
      <c r="M166" s="16">
        <f t="shared" si="44"/>
        <v>489850</v>
      </c>
    </row>
    <row r="167" spans="1:13" ht="12.75" x14ac:dyDescent="0.2">
      <c r="A167" s="2" t="s">
        <v>76</v>
      </c>
      <c r="B167" s="1"/>
      <c r="C167" s="1"/>
      <c r="D167" s="16">
        <f>H41</f>
        <v>0</v>
      </c>
      <c r="E167" s="16">
        <f>H41</f>
        <v>0</v>
      </c>
      <c r="F167" s="16">
        <f>H41</f>
        <v>0</v>
      </c>
      <c r="G167" s="16">
        <f>H41</f>
        <v>0</v>
      </c>
      <c r="H167" s="16">
        <f>H41</f>
        <v>0</v>
      </c>
      <c r="I167" s="16">
        <f>H41</f>
        <v>0</v>
      </c>
      <c r="J167" s="16">
        <f>H41</f>
        <v>0</v>
      </c>
      <c r="K167" s="16">
        <f>H41</f>
        <v>0</v>
      </c>
      <c r="L167" s="16">
        <f>H41</f>
        <v>0</v>
      </c>
      <c r="M167" s="16">
        <f>H41</f>
        <v>0</v>
      </c>
    </row>
    <row r="168" spans="1:13" ht="12.75" x14ac:dyDescent="0.2">
      <c r="A168" s="2" t="s">
        <v>77</v>
      </c>
      <c r="B168" s="1"/>
      <c r="C168" s="18">
        <f>H43/100</f>
        <v>0.05</v>
      </c>
      <c r="D168" s="16">
        <f>C168*D122</f>
        <v>24735</v>
      </c>
      <c r="E168" s="16">
        <f>C168*E122</f>
        <v>25229.7</v>
      </c>
      <c r="F168" s="16">
        <f>C168*F122</f>
        <v>25734.294000000002</v>
      </c>
      <c r="G168" s="16">
        <f>C168*G122</f>
        <v>26248.979879999999</v>
      </c>
      <c r="H168" s="16">
        <f>C168*H122</f>
        <v>26773.959477600001</v>
      </c>
      <c r="I168" s="16">
        <f>C168*I122</f>
        <v>27309.438667152004</v>
      </c>
      <c r="J168" s="16">
        <f>C168*J122</f>
        <v>27855.627440495045</v>
      </c>
      <c r="K168" s="16">
        <f>C168*K122</f>
        <v>28412.739989304944</v>
      </c>
      <c r="L168" s="16">
        <f>C168*L122</f>
        <v>28980.994789091044</v>
      </c>
      <c r="M168" s="16">
        <f>C168*M122</f>
        <v>29560.614684872868</v>
      </c>
    </row>
    <row r="169" spans="1:13" ht="12.75" x14ac:dyDescent="0.2">
      <c r="A169" s="2" t="s">
        <v>78</v>
      </c>
      <c r="B169" s="1"/>
      <c r="C169" s="1"/>
      <c r="D169" s="16">
        <f>D100</f>
        <v>15167.272727272728</v>
      </c>
      <c r="E169" s="16">
        <f t="shared" ref="E169:M169" si="45">D169+E100</f>
        <v>30334.545454545456</v>
      </c>
      <c r="F169" s="16">
        <f t="shared" si="45"/>
        <v>45501.818181818184</v>
      </c>
      <c r="G169" s="16">
        <f t="shared" si="45"/>
        <v>60669.090909090912</v>
      </c>
      <c r="H169" s="16">
        <f t="shared" si="45"/>
        <v>75836.363636363647</v>
      </c>
      <c r="I169" s="16">
        <f t="shared" si="45"/>
        <v>91003.636363636382</v>
      </c>
      <c r="J169" s="16">
        <f t="shared" si="45"/>
        <v>106170.90909090912</v>
      </c>
      <c r="K169" s="16">
        <f t="shared" si="45"/>
        <v>121338.18181818185</v>
      </c>
      <c r="L169" s="16">
        <f t="shared" si="45"/>
        <v>136505.45454545459</v>
      </c>
      <c r="M169" s="16">
        <f t="shared" si="45"/>
        <v>151672.72727272732</v>
      </c>
    </row>
    <row r="170" spans="1:13" ht="12.75" x14ac:dyDescent="0.2">
      <c r="A170" s="2" t="s">
        <v>79</v>
      </c>
      <c r="B170" s="1"/>
      <c r="C170" s="1"/>
      <c r="D170" s="16">
        <f t="shared" ref="D170:M170" si="46">D166+D167+D168-D169</f>
        <v>499417.72727272729</v>
      </c>
      <c r="E170" s="16">
        <f t="shared" si="46"/>
        <v>484745.15454545454</v>
      </c>
      <c r="F170" s="16">
        <f t="shared" si="46"/>
        <v>470082.47581818182</v>
      </c>
      <c r="G170" s="16">
        <f t="shared" si="46"/>
        <v>455429.88897090906</v>
      </c>
      <c r="H170" s="16">
        <f t="shared" si="46"/>
        <v>440787.59584123635</v>
      </c>
      <c r="I170" s="16">
        <f t="shared" si="46"/>
        <v>426155.80230351561</v>
      </c>
      <c r="J170" s="16">
        <f t="shared" si="46"/>
        <v>411534.71834958595</v>
      </c>
      <c r="K170" s="16">
        <f t="shared" si="46"/>
        <v>396924.55817112303</v>
      </c>
      <c r="L170" s="16">
        <f t="shared" si="46"/>
        <v>382325.54024363647</v>
      </c>
      <c r="M170" s="16">
        <f t="shared" si="46"/>
        <v>367737.8874121455</v>
      </c>
    </row>
    <row r="171" spans="1:13" ht="12.75" x14ac:dyDescent="0.2">
      <c r="A171" s="1"/>
      <c r="B171" s="1"/>
      <c r="C171" s="1"/>
      <c r="D171" s="3"/>
      <c r="E171" s="3"/>
      <c r="F171" s="3"/>
      <c r="G171" s="3"/>
      <c r="H171" s="3"/>
      <c r="I171" s="3"/>
      <c r="J171" s="3"/>
      <c r="K171" s="3"/>
      <c r="L171" s="3"/>
      <c r="M171" s="3"/>
    </row>
    <row r="172" spans="1:13" ht="12.75" x14ac:dyDescent="0.2">
      <c r="A172" s="1" t="s">
        <v>171</v>
      </c>
      <c r="B172" s="1"/>
      <c r="C172" s="1"/>
      <c r="D172" s="3"/>
      <c r="E172" s="3"/>
      <c r="F172" s="3"/>
      <c r="G172" s="3"/>
      <c r="H172" s="3"/>
      <c r="I172" s="3"/>
      <c r="J172" s="3"/>
      <c r="K172" s="3"/>
      <c r="L172" s="3"/>
      <c r="M172" s="3"/>
    </row>
    <row r="173" spans="1:13" ht="12.75" x14ac:dyDescent="0.2">
      <c r="A173" s="1" t="s">
        <v>80</v>
      </c>
      <c r="B173" s="1"/>
      <c r="C173" s="1"/>
      <c r="D173" s="16">
        <f>D122</f>
        <v>494700</v>
      </c>
      <c r="E173" s="16">
        <f t="shared" ref="E173:M173" si="47">E122</f>
        <v>504594</v>
      </c>
      <c r="F173" s="16">
        <f t="shared" si="47"/>
        <v>514685.88</v>
      </c>
      <c r="G173" s="16">
        <f t="shared" si="47"/>
        <v>524979.59759999998</v>
      </c>
      <c r="H173" s="16">
        <f t="shared" si="47"/>
        <v>535479.18955200003</v>
      </c>
      <c r="I173" s="16">
        <f t="shared" si="47"/>
        <v>546188.77334304003</v>
      </c>
      <c r="J173" s="16">
        <f t="shared" si="47"/>
        <v>557112.54880990088</v>
      </c>
      <c r="K173" s="16">
        <f t="shared" si="47"/>
        <v>568254.79978609888</v>
      </c>
      <c r="L173" s="16">
        <f t="shared" si="47"/>
        <v>579619.89578182087</v>
      </c>
      <c r="M173" s="16">
        <f t="shared" si="47"/>
        <v>591212.29369745729</v>
      </c>
    </row>
    <row r="174" spans="1:13" ht="12.75" x14ac:dyDescent="0.2">
      <c r="A174" s="1" t="s">
        <v>172</v>
      </c>
      <c r="B174" s="1"/>
      <c r="C174" s="1"/>
      <c r="D174" s="16">
        <f>D166+D167+D168</f>
        <v>514585</v>
      </c>
      <c r="E174" s="16">
        <f t="shared" ref="E174:M174" si="48">E166+E167+E168</f>
        <v>515079.7</v>
      </c>
      <c r="F174" s="16">
        <f t="shared" si="48"/>
        <v>515584.29399999999</v>
      </c>
      <c r="G174" s="16">
        <f t="shared" si="48"/>
        <v>516098.97988</v>
      </c>
      <c r="H174" s="16">
        <f t="shared" si="48"/>
        <v>516623.9594776</v>
      </c>
      <c r="I174" s="16">
        <f t="shared" si="48"/>
        <v>517159.43866715202</v>
      </c>
      <c r="J174" s="16">
        <f t="shared" si="48"/>
        <v>517705.62744049507</v>
      </c>
      <c r="K174" s="16">
        <f t="shared" si="48"/>
        <v>518262.73998930492</v>
      </c>
      <c r="L174" s="16">
        <f t="shared" si="48"/>
        <v>518830.99478909106</v>
      </c>
      <c r="M174" s="16">
        <f t="shared" si="48"/>
        <v>519410.61468487285</v>
      </c>
    </row>
    <row r="175" spans="1:13" ht="12.75" x14ac:dyDescent="0.2">
      <c r="A175" s="1" t="s">
        <v>173</v>
      </c>
      <c r="B175" s="1"/>
      <c r="C175" s="1"/>
      <c r="D175" s="16">
        <f>D173-D174</f>
        <v>-19885</v>
      </c>
      <c r="E175" s="16">
        <f t="shared" ref="E175:M175" si="49">E173-E174</f>
        <v>-10485.700000000012</v>
      </c>
      <c r="F175" s="16">
        <f t="shared" si="49"/>
        <v>-898.41399999998976</v>
      </c>
      <c r="G175" s="16">
        <f t="shared" si="49"/>
        <v>8880.6177199999802</v>
      </c>
      <c r="H175" s="16">
        <f t="shared" si="49"/>
        <v>18855.230074400024</v>
      </c>
      <c r="I175" s="16">
        <f t="shared" si="49"/>
        <v>29029.334675888007</v>
      </c>
      <c r="J175" s="16">
        <f t="shared" si="49"/>
        <v>39406.921369405813</v>
      </c>
      <c r="K175" s="16">
        <f t="shared" si="49"/>
        <v>49992.059796793968</v>
      </c>
      <c r="L175" s="16">
        <f t="shared" si="49"/>
        <v>60788.900992729818</v>
      </c>
      <c r="M175" s="16">
        <f t="shared" si="49"/>
        <v>71801.679012584442</v>
      </c>
    </row>
    <row r="176" spans="1:13" ht="12.75" x14ac:dyDescent="0.2">
      <c r="A176" s="1"/>
      <c r="B176" s="1"/>
      <c r="C176" s="1"/>
      <c r="D176" s="3"/>
      <c r="E176" s="3"/>
      <c r="F176" s="3"/>
      <c r="G176" s="3"/>
      <c r="H176" s="3"/>
      <c r="I176" s="3"/>
      <c r="J176" s="3"/>
      <c r="K176" s="3"/>
      <c r="L176" s="3"/>
      <c r="M176" s="3"/>
    </row>
    <row r="177" spans="1:13" ht="12.75" x14ac:dyDescent="0.2">
      <c r="A177" s="2" t="s">
        <v>170</v>
      </c>
      <c r="B177" s="1"/>
      <c r="C177" s="1"/>
      <c r="D177" s="3"/>
      <c r="E177" s="3"/>
      <c r="F177" s="3"/>
      <c r="G177" s="3"/>
      <c r="H177" s="3"/>
      <c r="I177" s="3"/>
      <c r="J177" s="3"/>
      <c r="K177" s="3"/>
      <c r="L177" s="3"/>
      <c r="M177" s="3"/>
    </row>
    <row r="178" spans="1:13" ht="12.75" x14ac:dyDescent="0.2">
      <c r="A178" s="2" t="s">
        <v>80</v>
      </c>
      <c r="B178" s="1"/>
      <c r="C178" s="1"/>
      <c r="D178" s="16">
        <f t="shared" ref="D178:M178" si="50">D122</f>
        <v>494700</v>
      </c>
      <c r="E178" s="16">
        <f t="shared" si="50"/>
        <v>504594</v>
      </c>
      <c r="F178" s="16">
        <f t="shared" si="50"/>
        <v>514685.88</v>
      </c>
      <c r="G178" s="16">
        <f t="shared" si="50"/>
        <v>524979.59759999998</v>
      </c>
      <c r="H178" s="16">
        <f t="shared" si="50"/>
        <v>535479.18955200003</v>
      </c>
      <c r="I178" s="16">
        <f t="shared" si="50"/>
        <v>546188.77334304003</v>
      </c>
      <c r="J178" s="16">
        <f t="shared" si="50"/>
        <v>557112.54880990088</v>
      </c>
      <c r="K178" s="16">
        <f t="shared" si="50"/>
        <v>568254.79978609888</v>
      </c>
      <c r="L178" s="16">
        <f t="shared" si="50"/>
        <v>579619.89578182087</v>
      </c>
      <c r="M178" s="16">
        <f t="shared" si="50"/>
        <v>591212.29369745729</v>
      </c>
    </row>
    <row r="179" spans="1:13" ht="12.75" x14ac:dyDescent="0.2">
      <c r="A179" s="2" t="s">
        <v>81</v>
      </c>
      <c r="B179" s="1"/>
      <c r="C179" s="1"/>
      <c r="D179" s="16">
        <f t="shared" ref="D179:M179" si="51">D170</f>
        <v>499417.72727272729</v>
      </c>
      <c r="E179" s="16">
        <f t="shared" si="51"/>
        <v>484745.15454545454</v>
      </c>
      <c r="F179" s="16">
        <f t="shared" si="51"/>
        <v>470082.47581818182</v>
      </c>
      <c r="G179" s="16">
        <f t="shared" si="51"/>
        <v>455429.88897090906</v>
      </c>
      <c r="H179" s="16">
        <f t="shared" si="51"/>
        <v>440787.59584123635</v>
      </c>
      <c r="I179" s="16">
        <f t="shared" si="51"/>
        <v>426155.80230351561</v>
      </c>
      <c r="J179" s="16">
        <f t="shared" si="51"/>
        <v>411534.71834958595</v>
      </c>
      <c r="K179" s="16">
        <f t="shared" si="51"/>
        <v>396924.55817112303</v>
      </c>
      <c r="L179" s="16">
        <f t="shared" si="51"/>
        <v>382325.54024363647</v>
      </c>
      <c r="M179" s="16">
        <f t="shared" si="51"/>
        <v>367737.8874121455</v>
      </c>
    </row>
    <row r="180" spans="1:13" ht="12.75" x14ac:dyDescent="0.2">
      <c r="A180" s="2" t="s">
        <v>176</v>
      </c>
      <c r="B180" s="1"/>
      <c r="C180" s="1"/>
      <c r="D180" s="16">
        <f t="shared" ref="D180:M180" si="52">D178-D179</f>
        <v>-4717.7272727272939</v>
      </c>
      <c r="E180" s="16">
        <f t="shared" si="52"/>
        <v>19848.845454545459</v>
      </c>
      <c r="F180" s="16">
        <f t="shared" si="52"/>
        <v>44603.404181818187</v>
      </c>
      <c r="G180" s="16">
        <f t="shared" si="52"/>
        <v>69549.708629090921</v>
      </c>
      <c r="H180" s="16">
        <f t="shared" si="52"/>
        <v>94691.593710763671</v>
      </c>
      <c r="I180" s="16">
        <f t="shared" si="52"/>
        <v>120032.97103952442</v>
      </c>
      <c r="J180" s="16">
        <f t="shared" si="52"/>
        <v>145577.83046031493</v>
      </c>
      <c r="K180" s="16">
        <f t="shared" si="52"/>
        <v>171330.24161497585</v>
      </c>
      <c r="L180" s="16">
        <f t="shared" si="52"/>
        <v>197294.35553818441</v>
      </c>
      <c r="M180" s="16">
        <f t="shared" si="52"/>
        <v>223474.40628531179</v>
      </c>
    </row>
    <row r="181" spans="1:13" ht="12.75" x14ac:dyDescent="0.2">
      <c r="A181" s="1"/>
      <c r="B181" s="1"/>
      <c r="C181" s="1"/>
      <c r="D181" s="3"/>
      <c r="E181" s="3"/>
      <c r="F181" s="3"/>
      <c r="G181" s="3"/>
      <c r="H181" s="3"/>
      <c r="I181" s="3"/>
      <c r="J181" s="3"/>
      <c r="K181" s="3"/>
      <c r="L181" s="3"/>
      <c r="M181" s="3"/>
    </row>
    <row r="182" spans="1:13" ht="12.75" x14ac:dyDescent="0.2">
      <c r="A182" s="2" t="s">
        <v>82</v>
      </c>
      <c r="B182" s="1"/>
      <c r="C182" s="1"/>
      <c r="D182" s="3"/>
      <c r="E182" s="3"/>
      <c r="F182" s="3"/>
      <c r="G182" s="3"/>
      <c r="H182" s="3"/>
      <c r="I182" s="3"/>
      <c r="J182" s="3"/>
      <c r="K182" s="3"/>
      <c r="L182" s="3"/>
      <c r="M182" s="3"/>
    </row>
    <row r="183" spans="1:13" ht="12.75" x14ac:dyDescent="0.2">
      <c r="A183" s="2" t="s">
        <v>175</v>
      </c>
      <c r="B183" s="1"/>
      <c r="C183" s="1"/>
      <c r="D183" s="16">
        <f t="shared" ref="D183:M183" si="53">D180</f>
        <v>-4717.7272727272939</v>
      </c>
      <c r="E183" s="16">
        <f t="shared" si="53"/>
        <v>19848.845454545459</v>
      </c>
      <c r="F183" s="16">
        <f t="shared" si="53"/>
        <v>44603.404181818187</v>
      </c>
      <c r="G183" s="16">
        <f t="shared" si="53"/>
        <v>69549.708629090921</v>
      </c>
      <c r="H183" s="16">
        <f t="shared" si="53"/>
        <v>94691.593710763671</v>
      </c>
      <c r="I183" s="16">
        <f t="shared" si="53"/>
        <v>120032.97103952442</v>
      </c>
      <c r="J183" s="16">
        <f t="shared" si="53"/>
        <v>145577.83046031493</v>
      </c>
      <c r="K183" s="16">
        <f t="shared" si="53"/>
        <v>171330.24161497585</v>
      </c>
      <c r="L183" s="16">
        <f t="shared" si="53"/>
        <v>197294.35553818441</v>
      </c>
      <c r="M183" s="16">
        <f t="shared" si="53"/>
        <v>223474.40628531179</v>
      </c>
    </row>
    <row r="184" spans="1:13" ht="12.75" x14ac:dyDescent="0.2">
      <c r="A184" s="2" t="s">
        <v>83</v>
      </c>
      <c r="B184" s="1"/>
      <c r="C184" s="1"/>
      <c r="D184" s="16"/>
      <c r="E184" s="16">
        <f>((E169*$H$40)+(E175*$H$39))/100</f>
        <v>5486.4963636363609</v>
      </c>
      <c r="F184" s="16">
        <f t="shared" ref="F184:M184" si="54">((F169*$H$40)+(F175*$H$39))/100</f>
        <v>11195.771745454547</v>
      </c>
      <c r="G184" s="16">
        <f t="shared" si="54"/>
        <v>16943.396271272723</v>
      </c>
      <c r="H184" s="16">
        <f t="shared" si="54"/>
        <v>22730.136923970917</v>
      </c>
      <c r="I184" s="16">
        <f t="shared" si="54"/>
        <v>28556.776026086696</v>
      </c>
      <c r="J184" s="16">
        <f t="shared" si="54"/>
        <v>34424.111546608445</v>
      </c>
      <c r="K184" s="16">
        <f t="shared" si="54"/>
        <v>40332.95741390426</v>
      </c>
      <c r="L184" s="16">
        <f t="shared" si="54"/>
        <v>46284.143834909613</v>
      </c>
      <c r="M184" s="16">
        <f t="shared" si="54"/>
        <v>52278.517620698716</v>
      </c>
    </row>
    <row r="185" spans="1:13" ht="12.75" x14ac:dyDescent="0.2">
      <c r="A185" s="1"/>
      <c r="B185" s="1"/>
      <c r="C185" s="1"/>
      <c r="D185" s="3"/>
      <c r="E185" s="32"/>
      <c r="F185" s="3"/>
      <c r="G185" s="3"/>
      <c r="H185" s="3"/>
      <c r="I185" s="3"/>
      <c r="J185" s="3"/>
      <c r="K185" s="3"/>
      <c r="L185" s="3"/>
      <c r="M185" s="3"/>
    </row>
    <row r="186" spans="1:13" ht="12.75" x14ac:dyDescent="0.2">
      <c r="A186" s="2" t="s">
        <v>143</v>
      </c>
      <c r="B186" s="1"/>
      <c r="C186" s="1"/>
      <c r="D186" s="3"/>
      <c r="E186" s="3"/>
      <c r="F186" s="3"/>
      <c r="G186" s="3"/>
      <c r="H186" s="3"/>
      <c r="I186" s="3"/>
      <c r="J186" s="3"/>
      <c r="K186" s="3"/>
      <c r="L186" s="3"/>
      <c r="M186" s="3"/>
    </row>
    <row r="187" spans="1:13" ht="12.75" x14ac:dyDescent="0.2">
      <c r="A187" s="2" t="s">
        <v>80</v>
      </c>
      <c r="B187" s="1"/>
      <c r="C187" s="1"/>
      <c r="D187" s="16">
        <f t="shared" ref="D187:M187" si="55">D178</f>
        <v>494700</v>
      </c>
      <c r="E187" s="16">
        <f t="shared" si="55"/>
        <v>504594</v>
      </c>
      <c r="F187" s="16">
        <f t="shared" si="55"/>
        <v>514685.88</v>
      </c>
      <c r="G187" s="16">
        <f t="shared" si="55"/>
        <v>524979.59759999998</v>
      </c>
      <c r="H187" s="16">
        <f t="shared" si="55"/>
        <v>535479.18955200003</v>
      </c>
      <c r="I187" s="16">
        <f t="shared" si="55"/>
        <v>546188.77334304003</v>
      </c>
      <c r="J187" s="16">
        <f t="shared" si="55"/>
        <v>557112.54880990088</v>
      </c>
      <c r="K187" s="16">
        <f t="shared" si="55"/>
        <v>568254.79978609888</v>
      </c>
      <c r="L187" s="16">
        <f t="shared" si="55"/>
        <v>579619.89578182087</v>
      </c>
      <c r="M187" s="16">
        <f t="shared" si="55"/>
        <v>591212.29369745729</v>
      </c>
    </row>
    <row r="188" spans="1:13" ht="12.75" x14ac:dyDescent="0.2">
      <c r="A188" s="2" t="s">
        <v>84</v>
      </c>
      <c r="B188" s="1"/>
      <c r="C188" s="1"/>
      <c r="D188" s="16">
        <f t="shared" ref="D188:M188" si="56">D168</f>
        <v>24735</v>
      </c>
      <c r="E188" s="16">
        <f t="shared" si="56"/>
        <v>25229.7</v>
      </c>
      <c r="F188" s="16">
        <f t="shared" si="56"/>
        <v>25734.294000000002</v>
      </c>
      <c r="G188" s="16">
        <f t="shared" si="56"/>
        <v>26248.979879999999</v>
      </c>
      <c r="H188" s="16">
        <f t="shared" si="56"/>
        <v>26773.959477600001</v>
      </c>
      <c r="I188" s="16">
        <f t="shared" si="56"/>
        <v>27309.438667152004</v>
      </c>
      <c r="J188" s="16">
        <f t="shared" si="56"/>
        <v>27855.627440495045</v>
      </c>
      <c r="K188" s="16">
        <f t="shared" si="56"/>
        <v>28412.739989304944</v>
      </c>
      <c r="L188" s="16">
        <f t="shared" si="56"/>
        <v>28980.994789091044</v>
      </c>
      <c r="M188" s="16">
        <f t="shared" si="56"/>
        <v>29560.614684872868</v>
      </c>
    </row>
    <row r="189" spans="1:13" ht="12.75" x14ac:dyDescent="0.2">
      <c r="A189" s="2" t="s">
        <v>85</v>
      </c>
      <c r="B189" s="1"/>
      <c r="C189" s="1"/>
      <c r="D189" s="16">
        <f t="shared" ref="D189:M189" si="57">D113</f>
        <v>375070.21898864658</v>
      </c>
      <c r="E189" s="16">
        <f t="shared" si="57"/>
        <v>361613.65874927567</v>
      </c>
      <c r="F189" s="16">
        <f t="shared" si="57"/>
        <v>347608.85748335964</v>
      </c>
      <c r="G189" s="16">
        <f t="shared" si="57"/>
        <v>333033.47900558519</v>
      </c>
      <c r="H189" s="16">
        <f t="shared" si="57"/>
        <v>317864.27711998625</v>
      </c>
      <c r="I189" s="16">
        <f t="shared" si="57"/>
        <v>302077.05854470626</v>
      </c>
      <c r="J189" s="16">
        <f t="shared" si="57"/>
        <v>285646.64432625734</v>
      </c>
      <c r="K189" s="16">
        <f t="shared" si="57"/>
        <v>268546.82968173764</v>
      </c>
      <c r="L189" s="16">
        <f t="shared" si="57"/>
        <v>250750.34220495768</v>
      </c>
      <c r="M189" s="16">
        <f t="shared" si="57"/>
        <v>232228.79836982099</v>
      </c>
    </row>
    <row r="190" spans="1:13" ht="12.75" x14ac:dyDescent="0.2">
      <c r="A190" s="2" t="s">
        <v>86</v>
      </c>
      <c r="B190" s="1"/>
      <c r="C190" s="1"/>
      <c r="D190" s="16">
        <f t="shared" ref="D190:M190" si="58">D187-D188-D189</f>
        <v>94894.781011353421</v>
      </c>
      <c r="E190" s="16">
        <f t="shared" si="58"/>
        <v>117750.64125072432</v>
      </c>
      <c r="F190" s="16">
        <f t="shared" si="58"/>
        <v>141342.72851664037</v>
      </c>
      <c r="G190" s="16">
        <f t="shared" si="58"/>
        <v>165697.13871441479</v>
      </c>
      <c r="H190" s="16">
        <f t="shared" si="58"/>
        <v>190840.95295441378</v>
      </c>
      <c r="I190" s="16">
        <f t="shared" si="58"/>
        <v>216802.27613118174</v>
      </c>
      <c r="J190" s="16">
        <f t="shared" si="58"/>
        <v>243610.27704314847</v>
      </c>
      <c r="K190" s="16">
        <f t="shared" si="58"/>
        <v>271295.23011505633</v>
      </c>
      <c r="L190" s="16">
        <f t="shared" si="58"/>
        <v>299888.55878777214</v>
      </c>
      <c r="M190" s="16">
        <f t="shared" si="58"/>
        <v>329422.8806427634</v>
      </c>
    </row>
    <row r="191" spans="1:13" ht="12.75" x14ac:dyDescent="0.2">
      <c r="A191" s="2" t="s">
        <v>87</v>
      </c>
      <c r="B191" s="1"/>
      <c r="C191" s="1"/>
      <c r="D191" s="16">
        <f t="shared" ref="D191:M191" si="59">D184</f>
        <v>0</v>
      </c>
      <c r="E191" s="16">
        <f t="shared" si="59"/>
        <v>5486.4963636363609</v>
      </c>
      <c r="F191" s="16">
        <f t="shared" si="59"/>
        <v>11195.771745454547</v>
      </c>
      <c r="G191" s="16">
        <f t="shared" si="59"/>
        <v>16943.396271272723</v>
      </c>
      <c r="H191" s="16">
        <f t="shared" si="59"/>
        <v>22730.136923970917</v>
      </c>
      <c r="I191" s="16">
        <f t="shared" si="59"/>
        <v>28556.776026086696</v>
      </c>
      <c r="J191" s="16">
        <f t="shared" si="59"/>
        <v>34424.111546608445</v>
      </c>
      <c r="K191" s="16">
        <f t="shared" si="59"/>
        <v>40332.95741390426</v>
      </c>
      <c r="L191" s="16">
        <f t="shared" si="59"/>
        <v>46284.143834909613</v>
      </c>
      <c r="M191" s="16">
        <f t="shared" si="59"/>
        <v>52278.517620698716</v>
      </c>
    </row>
    <row r="192" spans="1:13" ht="12.75" x14ac:dyDescent="0.2">
      <c r="A192" s="2" t="s">
        <v>88</v>
      </c>
      <c r="B192" s="1"/>
      <c r="C192" s="1"/>
      <c r="D192" s="16">
        <f t="shared" ref="D192:M192" si="60">D190-D191</f>
        <v>94894.781011353421</v>
      </c>
      <c r="E192" s="16">
        <f t="shared" si="60"/>
        <v>112264.14488708795</v>
      </c>
      <c r="F192" s="16">
        <f t="shared" si="60"/>
        <v>130146.95677118583</v>
      </c>
      <c r="G192" s="16">
        <f t="shared" si="60"/>
        <v>148753.74244314205</v>
      </c>
      <c r="H192" s="16">
        <f t="shared" si="60"/>
        <v>168110.81603044286</v>
      </c>
      <c r="I192" s="16">
        <f t="shared" si="60"/>
        <v>188245.50010509504</v>
      </c>
      <c r="J192" s="16">
        <f t="shared" si="60"/>
        <v>209186.16549654002</v>
      </c>
      <c r="K192" s="16">
        <f t="shared" si="60"/>
        <v>230962.27270115208</v>
      </c>
      <c r="L192" s="16">
        <f t="shared" si="60"/>
        <v>253604.41495286254</v>
      </c>
      <c r="M192" s="16">
        <f t="shared" si="60"/>
        <v>277144.36302206467</v>
      </c>
    </row>
    <row r="193" spans="1:13" ht="12.75" x14ac:dyDescent="0.2">
      <c r="A193" s="1"/>
      <c r="B193" s="1"/>
      <c r="C193" s="1"/>
      <c r="D193" s="3"/>
      <c r="E193" s="3"/>
      <c r="F193" s="3"/>
      <c r="G193" s="3"/>
      <c r="H193" s="3"/>
      <c r="I193" s="3"/>
      <c r="J193" s="3"/>
      <c r="K193" s="3"/>
      <c r="L193" s="3"/>
      <c r="M193" s="3"/>
    </row>
    <row r="194" spans="1:13" ht="12.75" hidden="1" x14ac:dyDescent="0.2">
      <c r="A194" s="1"/>
      <c r="B194" s="1"/>
      <c r="C194" s="1"/>
      <c r="D194" s="32"/>
      <c r="E194" s="32"/>
      <c r="F194" s="32"/>
      <c r="G194" s="32"/>
      <c r="H194" s="32"/>
      <c r="I194" s="32"/>
      <c r="J194" s="32"/>
      <c r="K194" s="32"/>
      <c r="L194" s="32"/>
      <c r="M194" s="32"/>
    </row>
    <row r="195" spans="1:13" ht="12.75" hidden="1" x14ac:dyDescent="0.2">
      <c r="A195" s="1"/>
      <c r="B195" s="1"/>
      <c r="C195" s="1"/>
      <c r="D195" s="33"/>
      <c r="E195" s="32"/>
      <c r="F195" s="32"/>
      <c r="G195" s="32"/>
      <c r="H195" s="32"/>
      <c r="I195" s="32"/>
      <c r="J195" s="32"/>
      <c r="K195" s="32"/>
      <c r="L195" s="32"/>
      <c r="M195" s="32"/>
    </row>
    <row r="196" spans="1:13" ht="12.75" hidden="1" x14ac:dyDescent="0.2">
      <c r="A196" s="2"/>
      <c r="B196" s="1"/>
      <c r="C196" s="1"/>
      <c r="D196" s="3"/>
      <c r="E196" s="33"/>
      <c r="F196" s="32"/>
      <c r="G196" s="32"/>
      <c r="H196" s="32"/>
      <c r="I196" s="32"/>
      <c r="J196" s="32"/>
      <c r="K196" s="32"/>
      <c r="L196" s="32"/>
      <c r="M196" s="32"/>
    </row>
    <row r="197" spans="1:13" ht="12.75" hidden="1" x14ac:dyDescent="0.2">
      <c r="A197" s="2"/>
      <c r="B197" s="1"/>
      <c r="C197" s="1"/>
      <c r="D197" s="3"/>
      <c r="E197" s="3"/>
      <c r="F197" s="33"/>
      <c r="G197" s="32"/>
      <c r="H197" s="32"/>
      <c r="I197" s="32"/>
      <c r="J197" s="32"/>
      <c r="K197" s="32"/>
      <c r="L197" s="32"/>
      <c r="M197" s="32"/>
    </row>
    <row r="198" spans="1:13" ht="12.75" hidden="1" x14ac:dyDescent="0.2">
      <c r="A198" s="2"/>
      <c r="B198" s="1"/>
      <c r="C198" s="1"/>
      <c r="D198" s="3"/>
      <c r="E198" s="3"/>
      <c r="F198" s="3"/>
      <c r="G198" s="33"/>
      <c r="H198" s="32"/>
      <c r="I198" s="32"/>
      <c r="J198" s="32"/>
      <c r="K198" s="32"/>
      <c r="L198" s="32"/>
      <c r="M198" s="32"/>
    </row>
    <row r="199" spans="1:13" ht="12.75" hidden="1" x14ac:dyDescent="0.2">
      <c r="A199" s="2"/>
      <c r="B199" s="1"/>
      <c r="C199" s="1"/>
      <c r="D199" s="3"/>
      <c r="E199" s="3"/>
      <c r="F199" s="3"/>
      <c r="G199" s="3"/>
      <c r="H199" s="33"/>
      <c r="I199" s="32"/>
      <c r="J199" s="32"/>
      <c r="K199" s="32"/>
      <c r="L199" s="32"/>
      <c r="M199" s="32"/>
    </row>
    <row r="200" spans="1:13" ht="12.75" hidden="1" x14ac:dyDescent="0.2">
      <c r="A200" s="1"/>
      <c r="B200" s="1"/>
      <c r="C200" s="1"/>
      <c r="D200" s="3"/>
      <c r="E200" s="3"/>
      <c r="F200" s="3"/>
      <c r="G200" s="3"/>
      <c r="H200" s="3"/>
      <c r="I200" s="33"/>
      <c r="J200" s="32"/>
      <c r="K200" s="32"/>
      <c r="L200" s="32"/>
      <c r="M200" s="32"/>
    </row>
    <row r="201" spans="1:13" ht="12.75" hidden="1" x14ac:dyDescent="0.2">
      <c r="A201" s="1"/>
      <c r="B201" s="1"/>
      <c r="C201" s="1"/>
      <c r="D201" s="3"/>
      <c r="E201" s="3"/>
      <c r="F201" s="3"/>
      <c r="G201" s="3"/>
      <c r="H201" s="3"/>
      <c r="I201" s="3"/>
      <c r="J201" s="33"/>
      <c r="K201" s="32"/>
      <c r="L201" s="32"/>
      <c r="M201" s="32"/>
    </row>
    <row r="202" spans="1:13" ht="12.75" hidden="1" x14ac:dyDescent="0.2">
      <c r="A202" s="1"/>
      <c r="B202" s="1"/>
      <c r="C202" s="1"/>
      <c r="D202" s="3"/>
      <c r="E202" s="3"/>
      <c r="F202" s="3"/>
      <c r="G202" s="3"/>
      <c r="H202" s="3"/>
      <c r="I202" s="3"/>
      <c r="J202" s="3"/>
      <c r="K202" s="33"/>
      <c r="L202" s="32"/>
      <c r="M202" s="32"/>
    </row>
    <row r="203" spans="1:13" ht="12.75" hidden="1" x14ac:dyDescent="0.2">
      <c r="A203" s="1"/>
      <c r="B203" s="1"/>
      <c r="C203" s="1"/>
      <c r="D203" s="3"/>
      <c r="E203" s="3"/>
      <c r="F203" s="3"/>
      <c r="G203" s="3"/>
      <c r="H203" s="3"/>
      <c r="I203" s="3"/>
      <c r="J203" s="3"/>
      <c r="K203" s="3"/>
      <c r="L203" s="33"/>
      <c r="M203" s="32"/>
    </row>
    <row r="204" spans="1:13" ht="12.75" hidden="1" x14ac:dyDescent="0.2">
      <c r="A204" s="1"/>
      <c r="B204" s="1"/>
      <c r="C204" s="1"/>
      <c r="D204" s="3"/>
      <c r="E204" s="3"/>
      <c r="F204" s="3"/>
      <c r="G204" s="3"/>
      <c r="H204" s="3"/>
      <c r="I204" s="3"/>
      <c r="J204" s="3"/>
      <c r="K204" s="3"/>
      <c r="L204" s="3"/>
      <c r="M204" s="33"/>
    </row>
    <row r="205" spans="1:13" ht="12.75" x14ac:dyDescent="0.2">
      <c r="A205" s="1" t="s">
        <v>174</v>
      </c>
      <c r="B205" s="1"/>
      <c r="C205" s="1"/>
      <c r="D205" s="3"/>
      <c r="E205" s="3"/>
      <c r="F205" s="3"/>
      <c r="G205" s="3"/>
      <c r="H205" s="3"/>
      <c r="I205" s="3"/>
      <c r="J205" s="3"/>
      <c r="K205" s="3"/>
      <c r="L205" s="3"/>
      <c r="M205" s="3"/>
    </row>
    <row r="206" spans="1:13" ht="12.75" x14ac:dyDescent="0.2">
      <c r="A206" s="1"/>
      <c r="B206" s="1"/>
      <c r="C206" s="1"/>
      <c r="D206" s="3"/>
      <c r="E206" s="3"/>
      <c r="F206" s="2" t="s">
        <v>109</v>
      </c>
      <c r="G206" s="3"/>
      <c r="H206" s="3"/>
      <c r="I206" s="3"/>
      <c r="J206" s="3"/>
      <c r="K206" s="3"/>
      <c r="L206" s="3"/>
      <c r="M206" s="3"/>
    </row>
    <row r="207" spans="1:13" ht="12.75" x14ac:dyDescent="0.2">
      <c r="A207" s="1"/>
      <c r="B207" s="1"/>
      <c r="C207" s="1"/>
      <c r="D207" s="3"/>
      <c r="E207" s="3"/>
      <c r="F207" s="3"/>
      <c r="G207" s="3"/>
      <c r="H207" s="3"/>
      <c r="I207" s="3"/>
      <c r="J207" s="3"/>
      <c r="K207" s="3"/>
      <c r="L207" s="3"/>
      <c r="M207" s="3"/>
    </row>
    <row r="208" spans="1:13" ht="12.75" x14ac:dyDescent="0.2">
      <c r="A208" s="2"/>
      <c r="B208" s="1"/>
      <c r="C208" s="1"/>
      <c r="D208" s="31" t="s">
        <v>142</v>
      </c>
      <c r="E208" s="31" t="s">
        <v>117</v>
      </c>
      <c r="F208" s="31" t="s">
        <v>118</v>
      </c>
      <c r="G208" s="31" t="s">
        <v>119</v>
      </c>
      <c r="H208" s="31" t="s">
        <v>120</v>
      </c>
      <c r="I208" s="31" t="s">
        <v>121</v>
      </c>
      <c r="J208" s="31" t="s">
        <v>122</v>
      </c>
      <c r="K208" s="31" t="s">
        <v>123</v>
      </c>
      <c r="L208" s="31" t="s">
        <v>124</v>
      </c>
      <c r="M208" s="31" t="s">
        <v>125</v>
      </c>
    </row>
    <row r="209" spans="1:13" ht="12.75" x14ac:dyDescent="0.2">
      <c r="A209" s="1"/>
      <c r="B209" s="1"/>
      <c r="C209" s="1"/>
      <c r="D209" s="3"/>
      <c r="E209" s="3"/>
      <c r="F209" s="3"/>
      <c r="G209" s="3"/>
      <c r="H209" s="3"/>
      <c r="I209" s="3"/>
      <c r="J209" s="3"/>
      <c r="K209" s="3"/>
      <c r="L209" s="3"/>
      <c r="M209" s="3"/>
    </row>
    <row r="210" spans="1:13" ht="12.75" x14ac:dyDescent="0.2">
      <c r="A210" s="2" t="s">
        <v>50</v>
      </c>
      <c r="B210" s="1"/>
      <c r="C210" s="1"/>
      <c r="D210" s="16">
        <f t="shared" ref="D210:M210" si="61">D85</f>
        <v>34198.26</v>
      </c>
      <c r="E210" s="16">
        <f t="shared" si="61"/>
        <v>34882.225200000008</v>
      </c>
      <c r="F210" s="16">
        <f t="shared" si="61"/>
        <v>35579.869703999997</v>
      </c>
      <c r="G210" s="16">
        <f t="shared" si="61"/>
        <v>36291.467098080007</v>
      </c>
      <c r="H210" s="16">
        <f t="shared" si="61"/>
        <v>37017.296440041602</v>
      </c>
      <c r="I210" s="16">
        <f t="shared" si="61"/>
        <v>37757.642368842433</v>
      </c>
      <c r="J210" s="16">
        <f t="shared" si="61"/>
        <v>38512.795216219281</v>
      </c>
      <c r="K210" s="16">
        <f t="shared" si="61"/>
        <v>39283.051120543678</v>
      </c>
      <c r="L210" s="16">
        <f t="shared" si="61"/>
        <v>40068.712142954551</v>
      </c>
      <c r="M210" s="16">
        <f t="shared" si="61"/>
        <v>40870.086385813636</v>
      </c>
    </row>
    <row r="211" spans="1:13" ht="12.75" x14ac:dyDescent="0.2">
      <c r="A211" s="2" t="s">
        <v>89</v>
      </c>
      <c r="B211" s="1"/>
      <c r="C211" s="1"/>
      <c r="D211" s="16">
        <f t="shared" ref="D211:M211" si="62">D92</f>
        <v>28214.444132180935</v>
      </c>
      <c r="E211" s="16">
        <f t="shared" si="62"/>
        <v>28214.444132180935</v>
      </c>
      <c r="F211" s="16">
        <f t="shared" si="62"/>
        <v>28214.444132180935</v>
      </c>
      <c r="G211" s="16">
        <f t="shared" si="62"/>
        <v>28214.444132180935</v>
      </c>
      <c r="H211" s="16">
        <f t="shared" si="62"/>
        <v>28214.444132180935</v>
      </c>
      <c r="I211" s="16">
        <f t="shared" si="62"/>
        <v>28214.444132180935</v>
      </c>
      <c r="J211" s="16">
        <f t="shared" si="62"/>
        <v>28214.444132180935</v>
      </c>
      <c r="K211" s="16">
        <f t="shared" si="62"/>
        <v>28214.444132180935</v>
      </c>
      <c r="L211" s="16">
        <f t="shared" si="62"/>
        <v>28214.444132180935</v>
      </c>
      <c r="M211" s="16">
        <f t="shared" si="62"/>
        <v>28214.444132180935</v>
      </c>
    </row>
    <row r="212" spans="1:13" ht="12.75" x14ac:dyDescent="0.2">
      <c r="A212" s="2" t="s">
        <v>110</v>
      </c>
      <c r="B212" s="1"/>
      <c r="C212" s="1"/>
      <c r="D212" s="20">
        <f t="shared" ref="D212:M212" si="63">D210/D211</f>
        <v>1.2120834222281922</v>
      </c>
      <c r="E212" s="20">
        <f t="shared" si="63"/>
        <v>1.2363250906727561</v>
      </c>
      <c r="F212" s="20">
        <f t="shared" si="63"/>
        <v>1.2610515924862109</v>
      </c>
      <c r="G212" s="20">
        <f t="shared" si="63"/>
        <v>1.2862726243359355</v>
      </c>
      <c r="H212" s="20">
        <f t="shared" si="63"/>
        <v>1.311998076822654</v>
      </c>
      <c r="I212" s="20">
        <f t="shared" si="63"/>
        <v>1.338238038359107</v>
      </c>
      <c r="J212" s="20">
        <f t="shared" si="63"/>
        <v>1.3650027991262892</v>
      </c>
      <c r="K212" s="20">
        <f t="shared" si="63"/>
        <v>1.3923028551088152</v>
      </c>
      <c r="L212" s="20">
        <f t="shared" si="63"/>
        <v>1.4201489122109916</v>
      </c>
      <c r="M212" s="20">
        <f t="shared" si="63"/>
        <v>1.4485518904552113</v>
      </c>
    </row>
    <row r="213" spans="1:13" ht="12.75" x14ac:dyDescent="0.2">
      <c r="A213" s="1"/>
      <c r="B213" s="1"/>
      <c r="C213" s="1"/>
      <c r="D213" s="3"/>
      <c r="E213" s="3"/>
      <c r="F213" s="3"/>
      <c r="G213" s="3"/>
      <c r="H213" s="3"/>
      <c r="I213" s="3"/>
      <c r="J213" s="3"/>
      <c r="K213" s="3"/>
      <c r="L213" s="3"/>
      <c r="M213" s="3"/>
    </row>
    <row r="214" spans="1:13" ht="12.75" x14ac:dyDescent="0.2">
      <c r="A214" s="1"/>
      <c r="B214" s="1"/>
      <c r="C214" s="1"/>
      <c r="D214" s="3"/>
      <c r="E214" s="4"/>
      <c r="F214" s="3"/>
      <c r="G214" s="3"/>
      <c r="H214" s="3"/>
      <c r="I214" s="3"/>
      <c r="J214" s="3"/>
      <c r="K214" s="3"/>
      <c r="L214" s="4" t="s">
        <v>183</v>
      </c>
      <c r="M214" s="3"/>
    </row>
    <row r="215" spans="1:13" ht="12.75" x14ac:dyDescent="0.2">
      <c r="A215" s="2" t="s">
        <v>91</v>
      </c>
      <c r="B215" s="1"/>
      <c r="C215" s="2"/>
      <c r="D215" s="3"/>
      <c r="E215" s="3"/>
      <c r="F215" s="3"/>
      <c r="G215" s="3"/>
      <c r="H215" s="3"/>
      <c r="I215" s="3"/>
      <c r="J215" s="3"/>
      <c r="K215" s="3"/>
      <c r="L215" s="3"/>
      <c r="M215" s="3"/>
    </row>
    <row r="216" spans="1:13" ht="12.75" x14ac:dyDescent="0.2">
      <c r="A216" s="2" t="s">
        <v>92</v>
      </c>
      <c r="B216" s="1"/>
      <c r="C216" s="2" t="s">
        <v>108</v>
      </c>
      <c r="D216" s="3"/>
      <c r="E216" s="3"/>
      <c r="F216" s="3"/>
      <c r="G216" s="3"/>
      <c r="H216" s="4" t="s">
        <v>90</v>
      </c>
      <c r="I216" s="11">
        <f ca="1">TRUNC(NOW())</f>
        <v>45050</v>
      </c>
      <c r="J216" s="3"/>
      <c r="K216" s="3"/>
      <c r="L216" s="3"/>
      <c r="M216" s="3"/>
    </row>
    <row r="217" spans="1:13" ht="12.75" x14ac:dyDescent="0.2">
      <c r="A217" s="2" t="s">
        <v>0</v>
      </c>
      <c r="B217" s="1"/>
      <c r="C217" s="12">
        <f>E6</f>
        <v>0</v>
      </c>
      <c r="D217" s="3"/>
      <c r="E217" s="3"/>
      <c r="F217" s="3"/>
      <c r="G217" s="3"/>
      <c r="H217" s="3"/>
      <c r="I217" s="3"/>
      <c r="J217" s="3"/>
      <c r="K217" s="3"/>
      <c r="L217" s="3"/>
      <c r="M217" s="3"/>
    </row>
    <row r="218" spans="1:13" x14ac:dyDescent="0.15">
      <c r="D218" s="28"/>
      <c r="F218" s="28"/>
      <c r="G218" s="28"/>
      <c r="H218" s="28"/>
      <c r="I218" s="28"/>
      <c r="J218" s="28"/>
      <c r="K218" s="28"/>
      <c r="L218" s="28"/>
      <c r="M218" s="28"/>
    </row>
    <row r="219" spans="1:13" x14ac:dyDescent="0.15">
      <c r="A219" s="34" t="s">
        <v>94</v>
      </c>
    </row>
    <row r="220" spans="1:13" x14ac:dyDescent="0.15">
      <c r="A220" s="34" t="s">
        <v>93</v>
      </c>
    </row>
    <row r="222" spans="1:13" ht="12.75" x14ac:dyDescent="0.2">
      <c r="A222" s="1" t="s">
        <v>154</v>
      </c>
      <c r="C222" s="1"/>
      <c r="D222" s="1"/>
      <c r="E222" s="3"/>
      <c r="F222" s="2"/>
      <c r="G222" s="1"/>
      <c r="H222" s="1"/>
      <c r="I222" s="1"/>
      <c r="J222" s="1"/>
    </row>
    <row r="223" spans="1:13" ht="12.75" x14ac:dyDescent="0.2">
      <c r="A223" s="1" t="s">
        <v>155</v>
      </c>
      <c r="B223" s="1"/>
      <c r="C223" s="1"/>
      <c r="D223" s="1"/>
      <c r="E223" s="3"/>
      <c r="F223" s="2"/>
      <c r="G223" s="1"/>
      <c r="H223" s="1"/>
      <c r="I223" s="1"/>
      <c r="J223" s="1"/>
    </row>
    <row r="225" spans="1:3" x14ac:dyDescent="0.15">
      <c r="C225" s="35" t="s">
        <v>158</v>
      </c>
    </row>
    <row r="226" spans="1:3" x14ac:dyDescent="0.15">
      <c r="A226" s="23" t="s">
        <v>159</v>
      </c>
    </row>
    <row r="227" spans="1:3" x14ac:dyDescent="0.15">
      <c r="A227" s="23" t="s">
        <v>160</v>
      </c>
    </row>
    <row r="251" spans="1:13" x14ac:dyDescent="0.15">
      <c r="A251" s="23" t="s">
        <v>166</v>
      </c>
    </row>
    <row r="252" spans="1:13" x14ac:dyDescent="0.15">
      <c r="A252" s="36"/>
      <c r="B252" s="36"/>
      <c r="C252" s="36"/>
      <c r="D252" s="36"/>
      <c r="E252" s="37"/>
      <c r="F252" s="36"/>
      <c r="G252" s="36"/>
      <c r="H252" s="36"/>
      <c r="I252" s="36"/>
      <c r="J252" s="36"/>
      <c r="K252" s="36"/>
      <c r="L252" s="36"/>
      <c r="M252" s="36"/>
    </row>
  </sheetData>
  <hyperlinks>
    <hyperlink ref="C225" r:id="rId1" display="http://www.mortgage-investments.com/"/>
  </hyperlinks>
  <pageMargins left="0.7" right="0.7" top="0.75" bottom="0.75" header="0.3" footer="0.3"/>
  <pageSetup orientation="portrait" horizontalDpi="4294967294"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58"/>
  <sheetViews>
    <sheetView zoomScaleNormal="100" workbookViewId="0">
      <selection activeCell="C22" sqref="C22"/>
    </sheetView>
  </sheetViews>
  <sheetFormatPr defaultColWidth="10" defaultRowHeight="12" x14ac:dyDescent="0.15"/>
  <cols>
    <col min="1" max="2" width="7.75" style="23" customWidth="1"/>
    <col min="3" max="3" width="11.125" style="23" customWidth="1"/>
    <col min="4" max="4" width="8.25" style="23" customWidth="1"/>
    <col min="5" max="5" width="7.625" style="28" customWidth="1"/>
    <col min="6" max="6" width="8.875" style="23" customWidth="1"/>
    <col min="7" max="7" width="8.125" style="23" customWidth="1"/>
    <col min="8" max="8" width="8.5" style="23" customWidth="1"/>
    <col min="9" max="9" width="8.375" style="23" customWidth="1"/>
    <col min="10" max="10" width="8.25" style="23" customWidth="1"/>
    <col min="11" max="11" width="8.75" style="23" customWidth="1"/>
    <col min="12" max="12" width="10.875" style="23" customWidth="1"/>
    <col min="13" max="13" width="9.5" style="23" customWidth="1"/>
    <col min="14" max="16384" width="10" style="23"/>
  </cols>
  <sheetData>
    <row r="1" spans="1:13" ht="12.75" x14ac:dyDescent="0.2">
      <c r="A1" s="1"/>
      <c r="B1" s="1"/>
      <c r="C1" s="1"/>
      <c r="D1" s="1"/>
      <c r="E1" s="3"/>
      <c r="F1" s="1"/>
      <c r="G1" s="1"/>
      <c r="H1" s="1"/>
      <c r="I1" s="1"/>
      <c r="J1" s="1"/>
      <c r="K1" s="1"/>
      <c r="L1" s="1"/>
      <c r="M1" s="1"/>
    </row>
    <row r="2" spans="1:13" ht="12.75" x14ac:dyDescent="0.2">
      <c r="A2" s="1"/>
      <c r="B2" s="1"/>
      <c r="C2" s="1"/>
      <c r="D2" s="1"/>
      <c r="E2" s="2" t="s">
        <v>99</v>
      </c>
      <c r="F2" s="1"/>
      <c r="G2" s="1"/>
      <c r="H2" s="1"/>
      <c r="I2" s="1"/>
      <c r="J2" s="1"/>
      <c r="K2" s="1"/>
      <c r="L2" s="2" t="s">
        <v>181</v>
      </c>
      <c r="M2" s="1"/>
    </row>
    <row r="3" spans="1:13" ht="12.75" x14ac:dyDescent="0.2">
      <c r="A3" s="1"/>
      <c r="B3" s="1"/>
      <c r="C3" s="1"/>
      <c r="D3" s="1"/>
      <c r="E3" s="4"/>
      <c r="F3" s="1"/>
      <c r="G3" s="1"/>
      <c r="H3" s="1"/>
      <c r="I3" s="1"/>
      <c r="J3" s="1"/>
      <c r="K3" s="1"/>
      <c r="L3" s="2"/>
      <c r="M3" s="1"/>
    </row>
    <row r="4" spans="1:13" ht="12.75" x14ac:dyDescent="0.2">
      <c r="A4" s="1"/>
      <c r="B4" s="1"/>
      <c r="C4" s="1"/>
      <c r="D4" s="1"/>
      <c r="E4" s="4"/>
      <c r="F4" s="1"/>
      <c r="G4" s="1"/>
      <c r="H4" s="1"/>
      <c r="I4" s="1"/>
      <c r="J4" s="1"/>
      <c r="K4" s="1"/>
      <c r="L4" s="2"/>
      <c r="M4" s="1"/>
    </row>
    <row r="5" spans="1:13" ht="12.75" x14ac:dyDescent="0.2">
      <c r="A5" s="1" t="s">
        <v>153</v>
      </c>
      <c r="C5" s="1"/>
      <c r="D5" s="1"/>
      <c r="E5" s="3"/>
      <c r="F5" s="2"/>
      <c r="G5" s="1"/>
      <c r="H5" s="1"/>
      <c r="I5" s="1"/>
      <c r="J5" s="1"/>
      <c r="K5" s="1"/>
      <c r="L5" s="1"/>
      <c r="M5" s="1"/>
    </row>
    <row r="6" spans="1:13" ht="12.75" x14ac:dyDescent="0.2">
      <c r="A6" s="1" t="s">
        <v>162</v>
      </c>
      <c r="C6" s="1"/>
      <c r="D6" s="1"/>
      <c r="E6" s="3"/>
      <c r="F6" s="2"/>
      <c r="G6" s="1"/>
      <c r="H6" s="1"/>
      <c r="I6" s="1"/>
      <c r="J6" s="1"/>
      <c r="K6" s="1"/>
      <c r="L6" s="1"/>
      <c r="M6" s="1"/>
    </row>
    <row r="7" spans="1:13" ht="12.75" x14ac:dyDescent="0.2">
      <c r="A7" s="24" t="s">
        <v>163</v>
      </c>
      <c r="C7" s="25"/>
      <c r="D7" s="1"/>
      <c r="E7" s="3"/>
      <c r="F7" s="2"/>
      <c r="G7" s="1"/>
      <c r="H7" s="1"/>
      <c r="I7" s="1"/>
      <c r="J7" s="1"/>
      <c r="K7" s="1"/>
      <c r="L7" s="1"/>
      <c r="M7" s="1"/>
    </row>
    <row r="8" spans="1:13" ht="12.75" x14ac:dyDescent="0.2">
      <c r="A8" s="1" t="s">
        <v>164</v>
      </c>
      <c r="B8" s="1"/>
      <c r="C8" s="1"/>
      <c r="D8" s="1"/>
      <c r="E8" s="3"/>
      <c r="F8" s="2"/>
      <c r="G8" s="1"/>
      <c r="H8" s="1"/>
      <c r="I8" s="1"/>
      <c r="J8" s="1"/>
      <c r="K8" s="1"/>
      <c r="L8" s="1"/>
      <c r="M8" s="1"/>
    </row>
    <row r="9" spans="1:13" ht="12.75" x14ac:dyDescent="0.2">
      <c r="A9" s="1"/>
      <c r="B9" s="1"/>
      <c r="C9" s="1"/>
      <c r="D9" s="1"/>
      <c r="E9" s="3"/>
      <c r="F9" s="2"/>
      <c r="G9" s="1"/>
      <c r="H9" s="1"/>
      <c r="I9" s="1"/>
      <c r="J9" s="1"/>
      <c r="K9" s="1"/>
      <c r="L9" s="1"/>
      <c r="M9" s="1"/>
    </row>
    <row r="10" spans="1:13" ht="12.75" x14ac:dyDescent="0.2">
      <c r="A10" s="1"/>
      <c r="B10" s="1"/>
      <c r="C10" s="1"/>
      <c r="D10" s="26" t="s">
        <v>165</v>
      </c>
      <c r="E10" s="3"/>
      <c r="F10" s="1"/>
      <c r="G10" s="1"/>
      <c r="H10" s="1"/>
      <c r="I10" s="1"/>
      <c r="J10" s="1"/>
      <c r="K10" s="1"/>
      <c r="L10" s="22">
        <f ca="1">TRUNC(NOW())</f>
        <v>45050</v>
      </c>
      <c r="M10" s="1"/>
    </row>
    <row r="11" spans="1:13" ht="12.75" x14ac:dyDescent="0.2">
      <c r="A11" s="1"/>
      <c r="B11" s="1"/>
      <c r="C11" s="1"/>
      <c r="D11" s="26"/>
      <c r="E11" s="3"/>
      <c r="F11" s="1"/>
      <c r="G11" s="1"/>
      <c r="H11" s="1"/>
      <c r="I11" s="1"/>
      <c r="J11" s="1"/>
      <c r="K11" s="1"/>
      <c r="L11" s="27"/>
      <c r="M11" s="1"/>
    </row>
    <row r="12" spans="1:13" x14ac:dyDescent="0.15">
      <c r="A12" s="23" t="s">
        <v>161</v>
      </c>
    </row>
    <row r="13" spans="1:13" x14ac:dyDescent="0.15">
      <c r="A13" s="23" t="s">
        <v>160</v>
      </c>
    </row>
    <row r="15" spans="1:13" x14ac:dyDescent="0.15">
      <c r="A15" s="23" t="s">
        <v>177</v>
      </c>
    </row>
    <row r="16" spans="1:13" x14ac:dyDescent="0.15">
      <c r="A16" s="23" t="s">
        <v>178</v>
      </c>
    </row>
    <row r="17" spans="1:13" ht="12.75" x14ac:dyDescent="0.2">
      <c r="A17" s="1"/>
      <c r="B17" s="1"/>
      <c r="C17" s="1"/>
      <c r="D17" s="1"/>
      <c r="E17" s="3"/>
      <c r="F17" s="1"/>
      <c r="G17" s="1"/>
      <c r="H17" s="1"/>
      <c r="I17" s="1"/>
      <c r="J17" s="1"/>
      <c r="K17" s="1"/>
      <c r="L17" s="1"/>
      <c r="M17" s="1"/>
    </row>
    <row r="18" spans="1:13" ht="12.75" x14ac:dyDescent="0.2">
      <c r="A18" s="1"/>
      <c r="B18" s="1"/>
      <c r="C18" s="1"/>
      <c r="D18" s="1"/>
      <c r="E18" s="2" t="s">
        <v>1</v>
      </c>
      <c r="F18" s="1"/>
      <c r="G18" s="1"/>
      <c r="H18" s="5">
        <v>295000</v>
      </c>
      <c r="I18" s="1"/>
      <c r="J18" s="1"/>
      <c r="K18" s="1"/>
      <c r="L18" s="1"/>
      <c r="M18" s="1"/>
    </row>
    <row r="19" spans="1:13" ht="12.75" x14ac:dyDescent="0.2">
      <c r="A19" s="1"/>
      <c r="B19" s="1" t="s">
        <v>186</v>
      </c>
      <c r="C19" s="39">
        <f>E100/H19</f>
        <v>0.12354232264908846</v>
      </c>
      <c r="D19" s="1"/>
      <c r="E19" s="2" t="s">
        <v>2</v>
      </c>
      <c r="F19" s="1"/>
      <c r="G19" s="1"/>
      <c r="H19" s="10">
        <f>H18*0.2</f>
        <v>59000</v>
      </c>
      <c r="I19" s="40"/>
      <c r="J19" s="38"/>
      <c r="K19" s="38"/>
      <c r="L19" s="1"/>
      <c r="M19" s="1"/>
    </row>
    <row r="20" spans="1:13" ht="12.75" x14ac:dyDescent="0.2">
      <c r="A20" s="1"/>
      <c r="B20" s="1" t="s">
        <v>187</v>
      </c>
      <c r="C20" s="38">
        <f>E100</f>
        <v>7288.9970362962194</v>
      </c>
      <c r="D20" s="1"/>
      <c r="E20" s="2" t="s">
        <v>3</v>
      </c>
      <c r="F20" s="1"/>
      <c r="G20" s="1"/>
      <c r="H20" s="6">
        <v>5</v>
      </c>
      <c r="I20" s="2" t="s">
        <v>115</v>
      </c>
      <c r="J20" s="1"/>
      <c r="K20" s="1"/>
      <c r="L20" s="1"/>
      <c r="M20" s="1"/>
    </row>
    <row r="21" spans="1:13" ht="12.75" x14ac:dyDescent="0.2">
      <c r="A21" s="1"/>
      <c r="B21" s="1" t="s">
        <v>223</v>
      </c>
      <c r="C21" s="39">
        <f>D92/H18</f>
        <v>7.474837288135594E-2</v>
      </c>
      <c r="D21" s="1"/>
      <c r="E21" s="2" t="s">
        <v>5</v>
      </c>
      <c r="F21" s="1"/>
      <c r="G21" s="1"/>
      <c r="H21" s="7">
        <v>30</v>
      </c>
      <c r="I21" s="2" t="s">
        <v>6</v>
      </c>
      <c r="J21" s="1"/>
      <c r="K21" s="1"/>
      <c r="L21" s="1"/>
      <c r="M21" s="1"/>
    </row>
    <row r="22" spans="1:13" ht="12.75" x14ac:dyDescent="0.2">
      <c r="A22" s="1"/>
      <c r="B22" s="1" t="s">
        <v>188</v>
      </c>
      <c r="C22" s="39">
        <f>E149</f>
        <v>0.17914946417181754</v>
      </c>
      <c r="D22" s="1"/>
      <c r="E22" s="2" t="s">
        <v>7</v>
      </c>
      <c r="F22" s="1"/>
      <c r="G22" s="1"/>
      <c r="H22" s="7">
        <v>85</v>
      </c>
      <c r="I22" s="2" t="s">
        <v>4</v>
      </c>
      <c r="J22" s="1" t="s">
        <v>157</v>
      </c>
      <c r="K22" s="1"/>
      <c r="L22" s="1"/>
      <c r="M22" s="1"/>
    </row>
    <row r="23" spans="1:13" ht="12.75" x14ac:dyDescent="0.2">
      <c r="A23" s="1"/>
      <c r="B23" s="1" t="s">
        <v>224</v>
      </c>
      <c r="C23" s="38">
        <f>D81</f>
        <v>3616.08</v>
      </c>
      <c r="D23" s="1"/>
      <c r="E23" s="2" t="s">
        <v>8</v>
      </c>
      <c r="F23" s="1"/>
      <c r="G23" s="1"/>
      <c r="H23" s="7">
        <v>27.5</v>
      </c>
      <c r="I23" s="2" t="s">
        <v>169</v>
      </c>
      <c r="J23" s="1"/>
      <c r="L23" s="1" t="s">
        <v>168</v>
      </c>
      <c r="M23" s="1"/>
    </row>
    <row r="24" spans="1:13" ht="12.75" x14ac:dyDescent="0.2">
      <c r="A24" s="1"/>
      <c r="B24" s="1"/>
      <c r="C24" s="1"/>
      <c r="D24" s="1"/>
      <c r="E24" s="2" t="s">
        <v>97</v>
      </c>
      <c r="F24" s="1"/>
      <c r="G24" s="1"/>
      <c r="H24" s="5">
        <f>C31</f>
        <v>47580</v>
      </c>
      <c r="I24" s="1"/>
      <c r="J24" s="1">
        <v>2565</v>
      </c>
      <c r="K24" s="1">
        <v>12</v>
      </c>
      <c r="L24" s="1">
        <f>J24*K24</f>
        <v>30780</v>
      </c>
      <c r="M24" s="1"/>
    </row>
    <row r="25" spans="1:13" ht="12.75" x14ac:dyDescent="0.2">
      <c r="A25" s="1"/>
      <c r="B25" s="1">
        <v>1</v>
      </c>
      <c r="C25" s="1">
        <v>1345</v>
      </c>
      <c r="D25" s="1"/>
      <c r="E25" s="2" t="s">
        <v>130</v>
      </c>
      <c r="F25" s="1"/>
      <c r="G25" s="1"/>
      <c r="H25" s="6">
        <v>5</v>
      </c>
      <c r="I25" s="2" t="s">
        <v>4</v>
      </c>
      <c r="J25" s="1"/>
      <c r="K25" s="1"/>
      <c r="L25" s="1"/>
      <c r="M25" s="1"/>
    </row>
    <row r="26" spans="1:13" ht="12.75" x14ac:dyDescent="0.2">
      <c r="A26" s="1"/>
      <c r="B26" s="1">
        <v>2</v>
      </c>
      <c r="C26" s="1">
        <v>915</v>
      </c>
      <c r="D26" s="1"/>
      <c r="E26" s="2" t="s">
        <v>96</v>
      </c>
      <c r="F26" s="1"/>
      <c r="G26" s="1"/>
      <c r="H26" s="4" t="s">
        <v>100</v>
      </c>
      <c r="I26" s="1"/>
      <c r="J26" s="1"/>
      <c r="K26" s="1"/>
      <c r="L26" s="1"/>
      <c r="M26" s="1"/>
    </row>
    <row r="27" spans="1:13" ht="12.75" x14ac:dyDescent="0.2">
      <c r="A27" s="1"/>
      <c r="B27" s="1">
        <v>3</v>
      </c>
      <c r="C27" s="1">
        <v>735</v>
      </c>
      <c r="D27" s="1"/>
      <c r="E27" s="2" t="s">
        <v>95</v>
      </c>
      <c r="F27" s="1"/>
      <c r="G27" s="1"/>
      <c r="H27" s="5">
        <v>2514</v>
      </c>
      <c r="I27" s="1"/>
      <c r="J27" s="1"/>
      <c r="K27" s="1"/>
      <c r="L27" s="1"/>
      <c r="M27" s="1"/>
    </row>
    <row r="28" spans="1:13" ht="12.75" x14ac:dyDescent="0.2">
      <c r="A28" s="1"/>
      <c r="B28" s="1">
        <v>4</v>
      </c>
      <c r="C28" s="1">
        <v>970</v>
      </c>
      <c r="D28" s="1"/>
      <c r="E28" s="2" t="s">
        <v>9</v>
      </c>
      <c r="F28" s="1"/>
      <c r="G28" s="1"/>
      <c r="H28" s="5">
        <v>1728</v>
      </c>
      <c r="I28" s="1"/>
      <c r="J28" s="1"/>
      <c r="K28" s="1"/>
      <c r="L28" s="1"/>
      <c r="M28" s="1"/>
    </row>
    <row r="29" spans="1:13" ht="12.75" x14ac:dyDescent="0.2">
      <c r="A29" s="1"/>
      <c r="B29" s="1" t="s">
        <v>207</v>
      </c>
      <c r="C29" s="1"/>
      <c r="D29" s="1"/>
      <c r="E29" s="2" t="s">
        <v>10</v>
      </c>
      <c r="F29" s="1"/>
      <c r="G29" s="1"/>
      <c r="H29" s="5">
        <v>1200</v>
      </c>
      <c r="I29" s="1"/>
      <c r="J29" s="1"/>
      <c r="K29" s="1"/>
      <c r="L29" s="1"/>
      <c r="M29" s="1"/>
    </row>
    <row r="30" spans="1:13" ht="12.75" x14ac:dyDescent="0.2">
      <c r="A30" s="1"/>
      <c r="B30" s="1"/>
      <c r="C30" s="1">
        <f>SUM(C25:C29)</f>
        <v>3965</v>
      </c>
      <c r="D30" s="1"/>
      <c r="E30" s="2" t="s">
        <v>11</v>
      </c>
      <c r="F30" s="1"/>
      <c r="G30" s="1"/>
      <c r="H30" s="5">
        <v>0</v>
      </c>
      <c r="I30" s="1"/>
      <c r="J30" s="1"/>
      <c r="K30" s="1"/>
      <c r="L30" s="1"/>
      <c r="M30" s="1"/>
    </row>
    <row r="31" spans="1:13" ht="12.75" x14ac:dyDescent="0.2">
      <c r="A31" s="1"/>
      <c r="B31" s="1"/>
      <c r="C31" s="1">
        <f>C30*12</f>
        <v>47580</v>
      </c>
      <c r="D31" s="1"/>
      <c r="E31" s="2" t="s">
        <v>12</v>
      </c>
      <c r="F31" s="1"/>
      <c r="G31" s="1"/>
      <c r="H31" s="5">
        <f>I31*J31</f>
        <v>6300</v>
      </c>
      <c r="I31" s="1">
        <v>1500</v>
      </c>
      <c r="J31" s="1">
        <v>4.2</v>
      </c>
      <c r="K31" s="1" t="s">
        <v>243</v>
      </c>
      <c r="L31" s="1"/>
      <c r="M31" s="1"/>
    </row>
    <row r="32" spans="1:13" ht="12.75" x14ac:dyDescent="0.2">
      <c r="A32" s="1"/>
      <c r="B32" s="1"/>
      <c r="C32" s="1"/>
      <c r="D32" s="1"/>
      <c r="E32" s="2" t="s">
        <v>13</v>
      </c>
      <c r="F32" s="1"/>
      <c r="G32" s="1"/>
      <c r="H32" s="5">
        <v>1012</v>
      </c>
      <c r="I32" s="1"/>
      <c r="J32" s="1"/>
      <c r="K32" s="1"/>
      <c r="L32" s="1"/>
      <c r="M32" s="1"/>
    </row>
    <row r="33" spans="1:13" ht="12.75" x14ac:dyDescent="0.2">
      <c r="A33" s="1"/>
      <c r="B33" s="1"/>
      <c r="C33" s="1"/>
      <c r="D33" s="1"/>
      <c r="E33" s="2" t="s">
        <v>113</v>
      </c>
      <c r="F33" s="1"/>
      <c r="G33" s="1"/>
      <c r="H33" s="5">
        <v>0</v>
      </c>
      <c r="I33" s="1"/>
      <c r="J33" s="1"/>
      <c r="K33" s="1"/>
      <c r="L33" s="1"/>
      <c r="M33" s="1"/>
    </row>
    <row r="34" spans="1:13" ht="12.75" x14ac:dyDescent="0.2">
      <c r="A34" s="40"/>
      <c r="B34" s="40"/>
      <c r="C34" s="40"/>
      <c r="D34" s="40"/>
      <c r="E34" s="2" t="s">
        <v>14</v>
      </c>
      <c r="F34" s="1"/>
      <c r="G34" s="1"/>
      <c r="H34" s="6">
        <v>8</v>
      </c>
      <c r="I34" s="79" t="s">
        <v>210</v>
      </c>
      <c r="J34" s="1"/>
      <c r="K34" s="1"/>
      <c r="L34" s="1"/>
      <c r="M34" s="1"/>
    </row>
    <row r="35" spans="1:13" ht="12.75" x14ac:dyDescent="0.2">
      <c r="A35" s="1"/>
      <c r="B35" s="1"/>
      <c r="C35" s="1"/>
      <c r="D35" s="1"/>
      <c r="E35" s="2" t="s">
        <v>234</v>
      </c>
      <c r="F35" s="1"/>
      <c r="G35" s="1"/>
      <c r="H35" s="6">
        <v>15</v>
      </c>
      <c r="I35" s="2" t="s">
        <v>114</v>
      </c>
      <c r="J35" s="1" t="s">
        <v>226</v>
      </c>
      <c r="K35" s="1"/>
      <c r="L35" s="1"/>
      <c r="M35" s="1"/>
    </row>
    <row r="36" spans="1:13" ht="12.75" x14ac:dyDescent="0.2">
      <c r="A36" s="1"/>
      <c r="B36" s="1"/>
      <c r="C36" s="1"/>
      <c r="D36" s="1"/>
      <c r="E36" s="2" t="s">
        <v>15</v>
      </c>
      <c r="F36" s="1"/>
      <c r="G36" s="1"/>
      <c r="H36" s="5">
        <v>0</v>
      </c>
      <c r="I36" s="1"/>
      <c r="J36" s="1"/>
      <c r="K36" s="1"/>
      <c r="L36" s="1"/>
      <c r="M36" s="1"/>
    </row>
    <row r="37" spans="1:13" ht="12.75" x14ac:dyDescent="0.2">
      <c r="A37" s="1"/>
      <c r="B37" s="1"/>
      <c r="C37" s="1"/>
      <c r="D37" s="1"/>
      <c r="E37" s="2" t="s">
        <v>16</v>
      </c>
      <c r="F37" s="1"/>
      <c r="G37" s="1"/>
      <c r="H37" s="5">
        <v>0</v>
      </c>
      <c r="I37" s="1"/>
      <c r="J37" s="1"/>
      <c r="K37" s="1"/>
      <c r="L37" s="1"/>
      <c r="M37" s="1"/>
    </row>
    <row r="38" spans="1:13" ht="12.75" x14ac:dyDescent="0.2">
      <c r="A38" s="1"/>
      <c r="B38" s="1"/>
      <c r="C38" s="1"/>
      <c r="D38" s="1"/>
      <c r="E38" s="2" t="s">
        <v>17</v>
      </c>
      <c r="F38" s="1"/>
      <c r="G38" s="1"/>
      <c r="H38" s="5">
        <v>0</v>
      </c>
      <c r="I38" s="1"/>
      <c r="J38" s="1"/>
      <c r="K38" s="1"/>
      <c r="L38" s="1"/>
      <c r="M38" s="1"/>
    </row>
    <row r="39" spans="1:13" ht="12.75" x14ac:dyDescent="0.2">
      <c r="A39" s="1"/>
      <c r="B39" s="1"/>
      <c r="C39" s="1"/>
      <c r="D39" s="1"/>
      <c r="E39" s="2" t="s">
        <v>17</v>
      </c>
      <c r="F39" s="1"/>
      <c r="G39" s="1"/>
      <c r="H39" s="5">
        <v>0</v>
      </c>
      <c r="I39" s="1"/>
      <c r="J39" s="1"/>
      <c r="K39" s="1"/>
      <c r="L39" s="1"/>
      <c r="M39" s="1"/>
    </row>
    <row r="40" spans="1:13" ht="12.75" x14ac:dyDescent="0.2">
      <c r="A40" s="1"/>
      <c r="B40" s="1"/>
      <c r="C40" s="1"/>
      <c r="D40" s="1"/>
      <c r="E40" s="2" t="s">
        <v>17</v>
      </c>
      <c r="F40" s="1"/>
      <c r="G40" s="1"/>
      <c r="H40" s="5">
        <v>0</v>
      </c>
      <c r="I40" s="1"/>
      <c r="J40" s="1"/>
      <c r="K40" s="1"/>
      <c r="L40" s="1"/>
      <c r="M40" s="1"/>
    </row>
    <row r="41" spans="1:13" ht="12.75" x14ac:dyDescent="0.2">
      <c r="A41" s="1"/>
      <c r="B41" s="1"/>
      <c r="C41" s="1"/>
      <c r="D41" s="1"/>
      <c r="E41" s="2" t="s">
        <v>17</v>
      </c>
      <c r="F41" s="1"/>
      <c r="G41" s="1"/>
      <c r="H41" s="5">
        <v>0</v>
      </c>
      <c r="I41" s="1"/>
      <c r="J41" s="1"/>
      <c r="K41" s="1"/>
      <c r="L41" s="1"/>
      <c r="M41" s="1"/>
    </row>
    <row r="42" spans="1:13" ht="12.75" x14ac:dyDescent="0.2">
      <c r="A42" s="1"/>
      <c r="B42" s="1"/>
      <c r="C42" s="1"/>
      <c r="D42" s="1"/>
      <c r="E42" s="2" t="s">
        <v>131</v>
      </c>
      <c r="F42" s="1"/>
      <c r="G42" s="1"/>
      <c r="H42" s="8">
        <v>2</v>
      </c>
      <c r="I42" s="2" t="s">
        <v>4</v>
      </c>
      <c r="J42" s="1" t="s">
        <v>101</v>
      </c>
      <c r="K42" s="1"/>
      <c r="L42" s="1" t="s">
        <v>179</v>
      </c>
      <c r="M42" s="1"/>
    </row>
    <row r="43" spans="1:13" ht="12.75" x14ac:dyDescent="0.2">
      <c r="A43" s="1"/>
      <c r="B43" s="1"/>
      <c r="C43" s="1"/>
      <c r="D43" s="1"/>
      <c r="E43" s="2" t="s">
        <v>132</v>
      </c>
      <c r="F43" s="1"/>
      <c r="G43" s="1"/>
      <c r="H43" s="8">
        <v>2</v>
      </c>
      <c r="I43" s="2" t="s">
        <v>4</v>
      </c>
      <c r="J43" s="1" t="s">
        <v>101</v>
      </c>
      <c r="K43" s="1"/>
      <c r="L43" s="1"/>
      <c r="M43" s="1"/>
    </row>
    <row r="44" spans="1:13" ht="12.75" x14ac:dyDescent="0.2">
      <c r="A44" s="1"/>
      <c r="B44" s="1"/>
      <c r="C44" s="1"/>
      <c r="D44" s="1"/>
      <c r="E44" s="2" t="s">
        <v>18</v>
      </c>
      <c r="F44" s="1"/>
      <c r="G44" s="1"/>
      <c r="H44" s="8">
        <v>0</v>
      </c>
      <c r="I44" s="2" t="s">
        <v>4</v>
      </c>
      <c r="J44" s="1" t="s">
        <v>101</v>
      </c>
      <c r="K44" s="1"/>
      <c r="L44" s="1"/>
      <c r="M44" s="1"/>
    </row>
    <row r="45" spans="1:13" ht="12.75" x14ac:dyDescent="0.2">
      <c r="A45" s="1"/>
      <c r="B45" s="1"/>
      <c r="C45" s="1"/>
      <c r="D45" s="1"/>
      <c r="E45" s="2" t="s">
        <v>19</v>
      </c>
      <c r="F45" s="1"/>
      <c r="G45" s="1"/>
      <c r="H45" s="8">
        <v>22</v>
      </c>
      <c r="I45" s="2" t="s">
        <v>4</v>
      </c>
      <c r="J45" s="1"/>
      <c r="K45" s="1"/>
      <c r="L45" s="1"/>
      <c r="M45" s="1"/>
    </row>
    <row r="46" spans="1:13" ht="12.75" x14ac:dyDescent="0.2">
      <c r="A46" s="1"/>
      <c r="B46" s="1"/>
      <c r="C46" s="1"/>
      <c r="D46" s="1"/>
      <c r="E46" s="2" t="s">
        <v>20</v>
      </c>
      <c r="F46" s="1"/>
      <c r="G46" s="1"/>
      <c r="H46" s="8">
        <v>20</v>
      </c>
      <c r="I46" s="2" t="s">
        <v>4</v>
      </c>
      <c r="J46" s="1" t="s">
        <v>167</v>
      </c>
      <c r="K46" s="1"/>
      <c r="L46" s="1"/>
      <c r="M46" s="1"/>
    </row>
    <row r="47" spans="1:13" ht="12.75" x14ac:dyDescent="0.2">
      <c r="A47" s="1"/>
      <c r="B47" s="1"/>
      <c r="C47" s="1"/>
      <c r="D47" s="1"/>
      <c r="E47" s="2" t="s">
        <v>156</v>
      </c>
      <c r="F47" s="1"/>
      <c r="G47" s="1"/>
      <c r="H47" s="8">
        <v>25</v>
      </c>
      <c r="I47" s="2" t="s">
        <v>4</v>
      </c>
      <c r="J47" s="1"/>
      <c r="K47" s="1"/>
      <c r="L47" s="1"/>
      <c r="M47" s="1"/>
    </row>
    <row r="48" spans="1:13" ht="12.75" x14ac:dyDescent="0.2">
      <c r="A48" s="1"/>
      <c r="B48" s="1"/>
      <c r="C48" s="1"/>
      <c r="D48" s="1"/>
      <c r="E48" s="2" t="s">
        <v>133</v>
      </c>
      <c r="F48" s="1"/>
      <c r="G48" s="1"/>
      <c r="H48" s="9">
        <v>0</v>
      </c>
      <c r="I48" s="1"/>
      <c r="J48" s="1"/>
      <c r="K48" s="1"/>
      <c r="L48" s="1"/>
      <c r="M48" s="1"/>
    </row>
    <row r="49" spans="1:13" ht="12.75" x14ac:dyDescent="0.2">
      <c r="A49" s="1"/>
      <c r="B49" s="1"/>
      <c r="C49" s="1"/>
      <c r="D49" s="1"/>
      <c r="E49" s="2" t="s">
        <v>134</v>
      </c>
      <c r="F49" s="1"/>
      <c r="G49" s="1"/>
      <c r="H49" s="8">
        <v>1</v>
      </c>
      <c r="I49" s="2" t="s">
        <v>4</v>
      </c>
      <c r="J49" s="1" t="s">
        <v>102</v>
      </c>
      <c r="K49" s="1"/>
      <c r="L49" s="1"/>
      <c r="M49" s="1"/>
    </row>
    <row r="50" spans="1:13" ht="12.75" x14ac:dyDescent="0.2">
      <c r="A50" s="1"/>
      <c r="B50" s="1"/>
      <c r="C50" s="1"/>
      <c r="D50" s="1"/>
      <c r="E50" s="2" t="s">
        <v>135</v>
      </c>
      <c r="F50" s="1"/>
      <c r="G50" s="1"/>
      <c r="H50" s="8">
        <v>6</v>
      </c>
      <c r="I50" s="2" t="s">
        <v>4</v>
      </c>
      <c r="J50" s="1" t="s">
        <v>102</v>
      </c>
      <c r="K50" s="1"/>
      <c r="L50" s="1"/>
      <c r="M50" s="1"/>
    </row>
    <row r="51" spans="1:13" ht="12.75" x14ac:dyDescent="0.2">
      <c r="A51" s="1"/>
      <c r="B51" s="1"/>
      <c r="C51" s="1"/>
      <c r="D51" s="1"/>
      <c r="E51" s="29"/>
      <c r="F51" s="1"/>
      <c r="G51" s="1"/>
      <c r="H51" s="1"/>
      <c r="I51" s="1"/>
      <c r="J51" s="1"/>
      <c r="K51" s="1"/>
      <c r="L51" s="1"/>
      <c r="M51" s="1"/>
    </row>
    <row r="52" spans="1:13" ht="12.75" x14ac:dyDescent="0.2">
      <c r="A52" s="1"/>
      <c r="B52" s="1"/>
      <c r="C52" s="1"/>
      <c r="D52" s="1"/>
      <c r="E52" s="2" t="s">
        <v>103</v>
      </c>
      <c r="F52" s="1"/>
      <c r="G52" s="1"/>
      <c r="H52" s="1"/>
      <c r="I52" s="1"/>
      <c r="J52" s="1"/>
      <c r="K52" s="1"/>
      <c r="L52" s="2" t="s">
        <v>180</v>
      </c>
      <c r="M52" s="1"/>
    </row>
    <row r="53" spans="1:13" ht="12.75" x14ac:dyDescent="0.2">
      <c r="A53" s="1"/>
      <c r="B53" s="1"/>
      <c r="C53" s="1"/>
      <c r="D53" s="1"/>
      <c r="E53" s="3"/>
      <c r="F53" s="1"/>
      <c r="G53" s="1"/>
      <c r="H53" s="1"/>
      <c r="I53" s="1"/>
      <c r="J53" s="1"/>
      <c r="K53" s="1"/>
      <c r="L53" s="1"/>
      <c r="M53" s="1"/>
    </row>
    <row r="54" spans="1:13" ht="12.75" x14ac:dyDescent="0.2">
      <c r="A54" s="2" t="s">
        <v>21</v>
      </c>
      <c r="B54" s="1"/>
      <c r="C54" s="1"/>
      <c r="D54" s="2" t="s">
        <v>136</v>
      </c>
      <c r="E54" s="3"/>
      <c r="F54" s="1"/>
      <c r="G54" s="2" t="s">
        <v>137</v>
      </c>
      <c r="H54" s="1"/>
      <c r="I54" s="1"/>
      <c r="J54" s="1"/>
      <c r="K54" s="1"/>
      <c r="L54" s="1"/>
      <c r="M54" s="1"/>
    </row>
    <row r="55" spans="1:13" ht="12.75" x14ac:dyDescent="0.2">
      <c r="A55" s="1"/>
      <c r="B55" s="1"/>
      <c r="C55" s="1"/>
      <c r="D55" s="1"/>
      <c r="E55" s="3"/>
      <c r="F55" s="1"/>
      <c r="G55" s="1"/>
      <c r="H55" s="1"/>
      <c r="I55" s="1"/>
      <c r="J55" s="1"/>
      <c r="K55" s="1"/>
      <c r="L55" s="1"/>
      <c r="M55" s="1"/>
    </row>
    <row r="56" spans="1:13" ht="12.75" x14ac:dyDescent="0.2">
      <c r="A56" s="2" t="s">
        <v>22</v>
      </c>
      <c r="B56" s="1"/>
      <c r="C56" s="1"/>
      <c r="D56" s="2" t="s">
        <v>23</v>
      </c>
      <c r="E56" s="14">
        <f>H20/100</f>
        <v>0.05</v>
      </c>
      <c r="F56" s="1"/>
      <c r="G56" s="2" t="s">
        <v>24</v>
      </c>
      <c r="H56" s="17">
        <f>1-H57</f>
        <v>0.15000000000000002</v>
      </c>
      <c r="I56" s="13">
        <f>H56*B57</f>
        <v>44250.000000000007</v>
      </c>
      <c r="J56" s="1"/>
      <c r="K56" s="1"/>
      <c r="L56" s="1"/>
      <c r="M56" s="1"/>
    </row>
    <row r="57" spans="1:13" ht="12.75" x14ac:dyDescent="0.2">
      <c r="A57" s="2" t="s">
        <v>25</v>
      </c>
      <c r="B57" s="13">
        <f>H18</f>
        <v>295000</v>
      </c>
      <c r="C57" s="1"/>
      <c r="D57" s="2" t="s">
        <v>26</v>
      </c>
      <c r="E57" s="15">
        <f>H21</f>
        <v>30</v>
      </c>
      <c r="F57" s="1"/>
      <c r="G57" s="2" t="s">
        <v>27</v>
      </c>
      <c r="H57" s="17">
        <f>H22/100</f>
        <v>0.85</v>
      </c>
      <c r="I57" s="13">
        <f>(H57*B57)+(B60+B61)</f>
        <v>253700</v>
      </c>
      <c r="J57" s="1"/>
      <c r="K57" s="1"/>
      <c r="L57" s="1"/>
      <c r="M57" s="1"/>
    </row>
    <row r="58" spans="1:13" ht="12.75" x14ac:dyDescent="0.2">
      <c r="A58" s="2" t="s">
        <v>28</v>
      </c>
      <c r="B58" s="13">
        <f>H19</f>
        <v>59000</v>
      </c>
      <c r="C58" s="1"/>
      <c r="D58" s="2" t="s">
        <v>29</v>
      </c>
      <c r="E58" s="16">
        <f>PMT((E56/12),(E57*12),-B59)</f>
        <v>1266.8990303086482</v>
      </c>
      <c r="F58" s="1"/>
      <c r="G58" s="2" t="s">
        <v>26</v>
      </c>
      <c r="H58" s="12">
        <f>H23</f>
        <v>27.5</v>
      </c>
      <c r="I58" s="1"/>
      <c r="J58" s="1"/>
      <c r="K58" s="1"/>
      <c r="L58" s="1"/>
      <c r="M58" s="1"/>
    </row>
    <row r="59" spans="1:13" ht="12.75" x14ac:dyDescent="0.2">
      <c r="A59" s="2" t="s">
        <v>30</v>
      </c>
      <c r="B59" s="13">
        <f>B57-B58</f>
        <v>236000</v>
      </c>
      <c r="C59" s="1"/>
      <c r="D59" s="2" t="s">
        <v>31</v>
      </c>
      <c r="E59" s="16">
        <f>E58*12</f>
        <v>15202.788363703778</v>
      </c>
      <c r="F59" s="1"/>
      <c r="G59" s="2" t="s">
        <v>32</v>
      </c>
      <c r="H59" s="13">
        <f>I57/H58</f>
        <v>9225.454545454546</v>
      </c>
      <c r="I59" s="1"/>
      <c r="J59" s="1"/>
      <c r="K59" s="1"/>
      <c r="L59" s="1"/>
      <c r="M59" s="1"/>
    </row>
    <row r="60" spans="1:13" ht="12.75" x14ac:dyDescent="0.2">
      <c r="A60" s="2" t="s">
        <v>33</v>
      </c>
      <c r="B60" s="13">
        <f>(H49/100)*B57</f>
        <v>2950</v>
      </c>
      <c r="C60" s="1"/>
      <c r="D60" s="1"/>
      <c r="E60" s="3"/>
      <c r="F60" s="1"/>
      <c r="G60" s="1"/>
      <c r="H60" s="1"/>
      <c r="I60" s="1"/>
      <c r="J60" s="1"/>
      <c r="K60" s="1"/>
      <c r="L60" s="1"/>
      <c r="M60" s="1"/>
    </row>
    <row r="61" spans="1:13" ht="12.75" x14ac:dyDescent="0.2">
      <c r="A61" s="1"/>
      <c r="B61" s="13">
        <f>H48</f>
        <v>0</v>
      </c>
      <c r="C61" s="1"/>
      <c r="D61" s="1"/>
      <c r="E61" s="3"/>
      <c r="F61" s="1"/>
      <c r="G61" s="1"/>
      <c r="H61" s="1"/>
      <c r="I61" s="1"/>
      <c r="J61" s="1"/>
      <c r="K61" s="1"/>
      <c r="L61" s="1"/>
      <c r="M61" s="1"/>
    </row>
    <row r="62" spans="1:13" ht="12.75" x14ac:dyDescent="0.2">
      <c r="A62" s="1"/>
      <c r="B62" s="1"/>
      <c r="C62" s="1"/>
      <c r="D62" s="1"/>
      <c r="E62" s="3"/>
      <c r="F62" s="1"/>
      <c r="G62" s="1"/>
      <c r="H62" s="1"/>
      <c r="I62" s="1"/>
      <c r="J62" s="1"/>
      <c r="K62" s="1"/>
      <c r="L62" s="1"/>
      <c r="M62" s="1"/>
    </row>
    <row r="63" spans="1:13" ht="12.75" x14ac:dyDescent="0.2">
      <c r="A63" s="2" t="s">
        <v>34</v>
      </c>
      <c r="B63" s="1"/>
      <c r="C63" s="1"/>
      <c r="D63" s="30" t="s">
        <v>116</v>
      </c>
      <c r="E63" s="31" t="s">
        <v>117</v>
      </c>
      <c r="F63" s="30" t="s">
        <v>118</v>
      </c>
      <c r="G63" s="30" t="s">
        <v>119</v>
      </c>
      <c r="H63" s="30" t="s">
        <v>120</v>
      </c>
      <c r="I63" s="30" t="s">
        <v>121</v>
      </c>
      <c r="J63" s="30" t="s">
        <v>122</v>
      </c>
      <c r="K63" s="30" t="s">
        <v>123</v>
      </c>
      <c r="L63" s="30" t="s">
        <v>124</v>
      </c>
      <c r="M63" s="30" t="s">
        <v>125</v>
      </c>
    </row>
    <row r="64" spans="1:13" ht="12.75" x14ac:dyDescent="0.2">
      <c r="A64" s="1"/>
      <c r="B64" s="1"/>
      <c r="C64" s="1"/>
      <c r="D64" s="1"/>
      <c r="E64" s="3"/>
      <c r="F64" s="1"/>
      <c r="G64" s="1"/>
      <c r="H64" s="1"/>
      <c r="I64" s="1"/>
      <c r="J64" s="1"/>
      <c r="K64" s="1"/>
      <c r="L64" s="1"/>
      <c r="M64" s="1"/>
    </row>
    <row r="65" spans="1:13" ht="12.75" x14ac:dyDescent="0.2">
      <c r="A65" s="2" t="s">
        <v>127</v>
      </c>
      <c r="B65" s="1"/>
      <c r="C65" s="1"/>
      <c r="D65" s="14"/>
      <c r="E65" s="14">
        <f>C66</f>
        <v>0.02</v>
      </c>
      <c r="F65" s="14">
        <f>C66</f>
        <v>0.02</v>
      </c>
      <c r="G65" s="14">
        <f>C66</f>
        <v>0.02</v>
      </c>
      <c r="H65" s="14">
        <f>C66</f>
        <v>0.02</v>
      </c>
      <c r="I65" s="14">
        <f>C66</f>
        <v>0.02</v>
      </c>
      <c r="J65" s="14">
        <f>C66</f>
        <v>0.02</v>
      </c>
      <c r="K65" s="14">
        <f>C66</f>
        <v>0.02</v>
      </c>
      <c r="L65" s="14">
        <f>C66</f>
        <v>0.02</v>
      </c>
      <c r="M65" s="14">
        <f>C66</f>
        <v>0.02</v>
      </c>
    </row>
    <row r="66" spans="1:13" ht="12.75" x14ac:dyDescent="0.2">
      <c r="A66" s="2" t="s">
        <v>128</v>
      </c>
      <c r="B66" s="1"/>
      <c r="C66" s="18">
        <f>H42/100</f>
        <v>0.02</v>
      </c>
      <c r="D66" s="16">
        <f>H24</f>
        <v>47580</v>
      </c>
      <c r="E66" s="16">
        <f t="shared" ref="E66:M66" si="0">(1+E65)*D66</f>
        <v>48531.6</v>
      </c>
      <c r="F66" s="16">
        <f t="shared" si="0"/>
        <v>49502.231999999996</v>
      </c>
      <c r="G66" s="16">
        <f t="shared" si="0"/>
        <v>50492.276639999996</v>
      </c>
      <c r="H66" s="16">
        <f t="shared" si="0"/>
        <v>51502.122172799995</v>
      </c>
      <c r="I66" s="16">
        <f t="shared" si="0"/>
        <v>52532.164616255992</v>
      </c>
      <c r="J66" s="16">
        <f t="shared" si="0"/>
        <v>53582.807908581111</v>
      </c>
      <c r="K66" s="16">
        <f t="shared" si="0"/>
        <v>54654.464066752735</v>
      </c>
      <c r="L66" s="16">
        <f t="shared" si="0"/>
        <v>55747.553348087793</v>
      </c>
      <c r="M66" s="16">
        <f t="shared" si="0"/>
        <v>56862.504415049552</v>
      </c>
    </row>
    <row r="67" spans="1:13" ht="12.75" x14ac:dyDescent="0.2">
      <c r="A67" s="2" t="s">
        <v>129</v>
      </c>
      <c r="B67" s="1"/>
      <c r="C67" s="1"/>
      <c r="D67" s="16">
        <f>C68*D66</f>
        <v>2379</v>
      </c>
      <c r="E67" s="16">
        <f>C68*E66</f>
        <v>2426.58</v>
      </c>
      <c r="F67" s="16">
        <f>C68*F66</f>
        <v>2475.1116000000002</v>
      </c>
      <c r="G67" s="16">
        <f>C68*G66</f>
        <v>2524.613832</v>
      </c>
      <c r="H67" s="16">
        <f>C68*H66</f>
        <v>2575.10610864</v>
      </c>
      <c r="I67" s="16">
        <f>C68*I66</f>
        <v>2626.6082308127998</v>
      </c>
      <c r="J67" s="16">
        <f>C68*J66</f>
        <v>2679.1403954290558</v>
      </c>
      <c r="K67" s="16">
        <f>C68*K66</f>
        <v>2732.7232033376367</v>
      </c>
      <c r="L67" s="16">
        <f>C68*L66</f>
        <v>2787.3776674043897</v>
      </c>
      <c r="M67" s="16">
        <f>C68*M66</f>
        <v>2843.1252207524776</v>
      </c>
    </row>
    <row r="68" spans="1:13" ht="12.75" x14ac:dyDescent="0.2">
      <c r="A68" s="2" t="s">
        <v>35</v>
      </c>
      <c r="B68" s="1"/>
      <c r="C68" s="18">
        <f>H25/100</f>
        <v>0.05</v>
      </c>
      <c r="D68" s="16">
        <f t="shared" ref="D68:M68" si="1">D66-D67</f>
        <v>45201</v>
      </c>
      <c r="E68" s="16">
        <f t="shared" si="1"/>
        <v>46105.02</v>
      </c>
      <c r="F68" s="16">
        <f t="shared" si="1"/>
        <v>47027.1204</v>
      </c>
      <c r="G68" s="16">
        <f t="shared" si="1"/>
        <v>47967.662807999994</v>
      </c>
      <c r="H68" s="16">
        <f t="shared" si="1"/>
        <v>48927.016064159994</v>
      </c>
      <c r="I68" s="16">
        <f t="shared" si="1"/>
        <v>49905.556385443189</v>
      </c>
      <c r="J68" s="16">
        <f t="shared" si="1"/>
        <v>50903.667513152053</v>
      </c>
      <c r="K68" s="16">
        <f t="shared" si="1"/>
        <v>51921.7408634151</v>
      </c>
      <c r="L68" s="16">
        <f t="shared" si="1"/>
        <v>52960.175680683402</v>
      </c>
      <c r="M68" s="16">
        <f t="shared" si="1"/>
        <v>54019.379194297071</v>
      </c>
    </row>
    <row r="69" spans="1:13" ht="12.75" x14ac:dyDescent="0.2">
      <c r="A69" s="1" t="s">
        <v>138</v>
      </c>
      <c r="B69" s="1"/>
      <c r="C69" s="1"/>
      <c r="D69" s="3"/>
      <c r="E69" s="3"/>
      <c r="F69" s="3"/>
      <c r="G69" s="3"/>
      <c r="H69" s="3"/>
      <c r="I69" s="3"/>
      <c r="J69" s="3"/>
      <c r="K69" s="3"/>
      <c r="L69" s="3"/>
      <c r="M69" s="3"/>
    </row>
    <row r="70" spans="1:13" ht="12.75" x14ac:dyDescent="0.2">
      <c r="A70" s="1"/>
      <c r="B70" s="1"/>
      <c r="C70" s="1"/>
      <c r="D70" s="3"/>
      <c r="E70" s="3"/>
      <c r="F70" s="3"/>
      <c r="G70" s="3"/>
      <c r="H70" s="3"/>
      <c r="I70" s="3"/>
      <c r="J70" s="3"/>
      <c r="K70" s="3"/>
      <c r="L70" s="3"/>
      <c r="M70" s="3"/>
    </row>
    <row r="71" spans="1:13" ht="12.75" x14ac:dyDescent="0.2">
      <c r="A71" s="2" t="s">
        <v>36</v>
      </c>
      <c r="B71" s="1"/>
      <c r="C71" s="1"/>
      <c r="D71" s="31" t="s">
        <v>142</v>
      </c>
      <c r="E71" s="31" t="s">
        <v>117</v>
      </c>
      <c r="F71" s="31" t="s">
        <v>118</v>
      </c>
      <c r="G71" s="31" t="s">
        <v>119</v>
      </c>
      <c r="H71" s="31" t="s">
        <v>120</v>
      </c>
      <c r="I71" s="31" t="s">
        <v>121</v>
      </c>
      <c r="J71" s="31" t="s">
        <v>122</v>
      </c>
      <c r="K71" s="31" t="s">
        <v>123</v>
      </c>
      <c r="L71" s="31" t="s">
        <v>124</v>
      </c>
      <c r="M71" s="31" t="s">
        <v>125</v>
      </c>
    </row>
    <row r="72" spans="1:13" ht="12.75" x14ac:dyDescent="0.2">
      <c r="A72" s="1"/>
      <c r="B72" s="1"/>
      <c r="C72" s="1"/>
      <c r="D72" s="3"/>
      <c r="E72" s="3"/>
      <c r="F72" s="3"/>
      <c r="G72" s="3"/>
      <c r="H72" s="3"/>
      <c r="I72" s="3"/>
      <c r="J72" s="3"/>
      <c r="K72" s="3"/>
      <c r="L72" s="3"/>
      <c r="M72" s="3"/>
    </row>
    <row r="73" spans="1:13" ht="12.75" x14ac:dyDescent="0.2">
      <c r="A73" s="2" t="s">
        <v>126</v>
      </c>
      <c r="B73" s="1"/>
      <c r="C73" s="1"/>
      <c r="D73" s="14"/>
      <c r="E73" s="14">
        <f>C74</f>
        <v>0.02</v>
      </c>
      <c r="F73" s="14">
        <f>C74</f>
        <v>0.02</v>
      </c>
      <c r="G73" s="14">
        <f>C74</f>
        <v>0.02</v>
      </c>
      <c r="H73" s="14">
        <f>C74</f>
        <v>0.02</v>
      </c>
      <c r="I73" s="14">
        <f>C74</f>
        <v>0.02</v>
      </c>
      <c r="J73" s="14">
        <f>C74</f>
        <v>0.02</v>
      </c>
      <c r="K73" s="14">
        <f>C74</f>
        <v>0.02</v>
      </c>
      <c r="L73" s="14">
        <f>C74</f>
        <v>0.02</v>
      </c>
      <c r="M73" s="14">
        <f>C74</f>
        <v>0.02</v>
      </c>
    </row>
    <row r="74" spans="1:13" ht="12.75" x14ac:dyDescent="0.2">
      <c r="A74" s="2" t="s">
        <v>98</v>
      </c>
      <c r="B74" s="1"/>
      <c r="C74" s="18">
        <f>H43/100</f>
        <v>0.02</v>
      </c>
      <c r="D74" s="16">
        <f t="shared" ref="D74:D80" si="2">H27</f>
        <v>2514</v>
      </c>
      <c r="E74" s="16">
        <f t="shared" ref="E74:M74" si="3">(1+E73)*D74</f>
        <v>2564.2800000000002</v>
      </c>
      <c r="F74" s="16">
        <f t="shared" si="3"/>
        <v>2615.5656000000004</v>
      </c>
      <c r="G74" s="16">
        <f t="shared" si="3"/>
        <v>2667.8769120000006</v>
      </c>
      <c r="H74" s="16">
        <f t="shared" si="3"/>
        <v>2721.2344502400006</v>
      </c>
      <c r="I74" s="16">
        <f t="shared" si="3"/>
        <v>2775.6591392448008</v>
      </c>
      <c r="J74" s="16">
        <f t="shared" si="3"/>
        <v>2831.1723220296967</v>
      </c>
      <c r="K74" s="16">
        <f t="shared" si="3"/>
        <v>2887.7957684702906</v>
      </c>
      <c r="L74" s="16">
        <f t="shared" si="3"/>
        <v>2945.5516838396966</v>
      </c>
      <c r="M74" s="16">
        <f t="shared" si="3"/>
        <v>3004.4627175164906</v>
      </c>
    </row>
    <row r="75" spans="1:13" ht="12.75" x14ac:dyDescent="0.2">
      <c r="A75" s="2" t="s">
        <v>37</v>
      </c>
      <c r="B75" s="1"/>
      <c r="C75" s="1"/>
      <c r="D75" s="16">
        <f t="shared" si="2"/>
        <v>1728</v>
      </c>
      <c r="E75" s="16">
        <f t="shared" ref="E75:M75" si="4">(1+E73)*D75</f>
        <v>1762.56</v>
      </c>
      <c r="F75" s="16">
        <f t="shared" si="4"/>
        <v>1797.8111999999999</v>
      </c>
      <c r="G75" s="16">
        <f t="shared" si="4"/>
        <v>1833.7674239999999</v>
      </c>
      <c r="H75" s="16">
        <f t="shared" si="4"/>
        <v>1870.44277248</v>
      </c>
      <c r="I75" s="16">
        <f t="shared" si="4"/>
        <v>1907.8516279296</v>
      </c>
      <c r="J75" s="16">
        <f t="shared" si="4"/>
        <v>1946.0086604881919</v>
      </c>
      <c r="K75" s="16">
        <f t="shared" si="4"/>
        <v>1984.9288336979557</v>
      </c>
      <c r="L75" s="16">
        <f t="shared" si="4"/>
        <v>2024.6274103719149</v>
      </c>
      <c r="M75" s="16">
        <f t="shared" si="4"/>
        <v>2065.1199585793534</v>
      </c>
    </row>
    <row r="76" spans="1:13" ht="12.75" x14ac:dyDescent="0.2">
      <c r="A76" s="2" t="s">
        <v>38</v>
      </c>
      <c r="B76" s="1"/>
      <c r="C76" s="1"/>
      <c r="D76" s="16">
        <f t="shared" si="2"/>
        <v>1200</v>
      </c>
      <c r="E76" s="16">
        <f t="shared" ref="E76:M76" si="5">(1+E73)*D76</f>
        <v>1224</v>
      </c>
      <c r="F76" s="16">
        <f t="shared" si="5"/>
        <v>1248.48</v>
      </c>
      <c r="G76" s="16">
        <f t="shared" si="5"/>
        <v>1273.4496000000001</v>
      </c>
      <c r="H76" s="16">
        <f t="shared" si="5"/>
        <v>1298.9185920000002</v>
      </c>
      <c r="I76" s="16">
        <f t="shared" si="5"/>
        <v>1324.8969638400004</v>
      </c>
      <c r="J76" s="16">
        <f t="shared" si="5"/>
        <v>1351.3949031168004</v>
      </c>
      <c r="K76" s="16">
        <f t="shared" si="5"/>
        <v>1378.4228011791365</v>
      </c>
      <c r="L76" s="16">
        <f t="shared" si="5"/>
        <v>1405.9912572027192</v>
      </c>
      <c r="M76" s="16">
        <f t="shared" si="5"/>
        <v>1434.1110823467736</v>
      </c>
    </row>
    <row r="77" spans="1:13" ht="12.75" x14ac:dyDescent="0.2">
      <c r="A77" s="2" t="s">
        <v>39</v>
      </c>
      <c r="B77" s="1"/>
      <c r="C77" s="1"/>
      <c r="D77" s="16">
        <f t="shared" si="2"/>
        <v>0</v>
      </c>
      <c r="E77" s="16">
        <f t="shared" ref="E77:M77" si="6">(1+E73)*D77</f>
        <v>0</v>
      </c>
      <c r="F77" s="16">
        <f t="shared" si="6"/>
        <v>0</v>
      </c>
      <c r="G77" s="16">
        <f t="shared" si="6"/>
        <v>0</v>
      </c>
      <c r="H77" s="16">
        <f t="shared" si="6"/>
        <v>0</v>
      </c>
      <c r="I77" s="16">
        <f t="shared" si="6"/>
        <v>0</v>
      </c>
      <c r="J77" s="16">
        <f t="shared" si="6"/>
        <v>0</v>
      </c>
      <c r="K77" s="16">
        <f t="shared" si="6"/>
        <v>0</v>
      </c>
      <c r="L77" s="16">
        <f t="shared" si="6"/>
        <v>0</v>
      </c>
      <c r="M77" s="16">
        <f t="shared" si="6"/>
        <v>0</v>
      </c>
    </row>
    <row r="78" spans="1:13" ht="12.75" x14ac:dyDescent="0.2">
      <c r="A78" s="2" t="s">
        <v>40</v>
      </c>
      <c r="B78" s="1"/>
      <c r="C78" s="1"/>
      <c r="D78" s="16">
        <f t="shared" si="2"/>
        <v>6300</v>
      </c>
      <c r="E78" s="16">
        <f t="shared" ref="E78:M78" si="7">(1+E73)*D78</f>
        <v>6426</v>
      </c>
      <c r="F78" s="16">
        <f t="shared" si="7"/>
        <v>6554.52</v>
      </c>
      <c r="G78" s="16">
        <f t="shared" si="7"/>
        <v>6685.6104000000005</v>
      </c>
      <c r="H78" s="16">
        <f t="shared" si="7"/>
        <v>6819.3226080000004</v>
      </c>
      <c r="I78" s="16">
        <f t="shared" si="7"/>
        <v>6955.7090601600003</v>
      </c>
      <c r="J78" s="16">
        <f t="shared" si="7"/>
        <v>7094.8232413632004</v>
      </c>
      <c r="K78" s="16">
        <f t="shared" si="7"/>
        <v>7236.7197061904644</v>
      </c>
      <c r="L78" s="16">
        <f t="shared" si="7"/>
        <v>7381.454100314274</v>
      </c>
      <c r="M78" s="16">
        <f t="shared" si="7"/>
        <v>7529.0831823205599</v>
      </c>
    </row>
    <row r="79" spans="1:13" ht="12.75" x14ac:dyDescent="0.2">
      <c r="A79" s="2" t="s">
        <v>41</v>
      </c>
      <c r="B79" s="1"/>
      <c r="C79" s="1"/>
      <c r="D79" s="16">
        <f t="shared" si="2"/>
        <v>1012</v>
      </c>
      <c r="E79" s="16">
        <f t="shared" ref="E79:M79" si="8">(1+E73)*D79</f>
        <v>1032.24</v>
      </c>
      <c r="F79" s="16">
        <f t="shared" si="8"/>
        <v>1052.8848</v>
      </c>
      <c r="G79" s="16">
        <f t="shared" si="8"/>
        <v>1073.9424960000001</v>
      </c>
      <c r="H79" s="16">
        <f t="shared" si="8"/>
        <v>1095.4213459200002</v>
      </c>
      <c r="I79" s="16">
        <f t="shared" si="8"/>
        <v>1117.3297728384002</v>
      </c>
      <c r="J79" s="16">
        <f t="shared" si="8"/>
        <v>1139.6763682951682</v>
      </c>
      <c r="K79" s="16">
        <f t="shared" si="8"/>
        <v>1162.4698956610716</v>
      </c>
      <c r="L79" s="16">
        <f t="shared" si="8"/>
        <v>1185.719293574293</v>
      </c>
      <c r="M79" s="16">
        <f t="shared" si="8"/>
        <v>1209.4336794457788</v>
      </c>
    </row>
    <row r="80" spans="1:13" ht="12.75" x14ac:dyDescent="0.2">
      <c r="A80" s="2" t="s">
        <v>139</v>
      </c>
      <c r="B80" s="1"/>
      <c r="C80" s="1"/>
      <c r="D80" s="16">
        <f t="shared" si="2"/>
        <v>0</v>
      </c>
      <c r="E80" s="16">
        <f t="shared" ref="E80:M80" si="9">(1+E73)*D80</f>
        <v>0</v>
      </c>
      <c r="F80" s="16">
        <f t="shared" si="9"/>
        <v>0</v>
      </c>
      <c r="G80" s="16">
        <f t="shared" si="9"/>
        <v>0</v>
      </c>
      <c r="H80" s="16">
        <f t="shared" si="9"/>
        <v>0</v>
      </c>
      <c r="I80" s="16">
        <f t="shared" si="9"/>
        <v>0</v>
      </c>
      <c r="J80" s="16">
        <f t="shared" si="9"/>
        <v>0</v>
      </c>
      <c r="K80" s="16">
        <f t="shared" si="9"/>
        <v>0</v>
      </c>
      <c r="L80" s="16">
        <f t="shared" si="9"/>
        <v>0</v>
      </c>
      <c r="M80" s="16">
        <f t="shared" si="9"/>
        <v>0</v>
      </c>
    </row>
    <row r="81" spans="1:13" ht="12.75" x14ac:dyDescent="0.2">
      <c r="A81" s="2" t="s">
        <v>42</v>
      </c>
      <c r="B81" s="1"/>
      <c r="C81" s="1"/>
      <c r="D81" s="16">
        <f>C82*D68</f>
        <v>3616.08</v>
      </c>
      <c r="E81" s="16">
        <f>C82*E68</f>
        <v>3688.4015999999997</v>
      </c>
      <c r="F81" s="16">
        <f>C82*F68</f>
        <v>3762.1696320000001</v>
      </c>
      <c r="G81" s="16">
        <f>C82*G68</f>
        <v>3837.4130246399995</v>
      </c>
      <c r="H81" s="16">
        <f>C82*H68</f>
        <v>3914.1612851327995</v>
      </c>
      <c r="I81" s="16">
        <f>C82*I68</f>
        <v>3992.4445108354553</v>
      </c>
      <c r="J81" s="16">
        <f>C82*J68</f>
        <v>4072.2934010521644</v>
      </c>
      <c r="K81" s="16">
        <f>C82*K68</f>
        <v>4153.7392690732077</v>
      </c>
      <c r="L81" s="16">
        <f>C82*L68</f>
        <v>4236.8140544546723</v>
      </c>
      <c r="M81" s="16">
        <f>C82*M68</f>
        <v>4321.5503355437659</v>
      </c>
    </row>
    <row r="82" spans="1:13" ht="12.75" x14ac:dyDescent="0.2">
      <c r="A82" s="2" t="s">
        <v>43</v>
      </c>
      <c r="B82" s="1"/>
      <c r="C82" s="18">
        <f>H34/100</f>
        <v>0.08</v>
      </c>
      <c r="D82" s="16">
        <f>C83*D68</f>
        <v>6780.15</v>
      </c>
      <c r="E82" s="16">
        <f>C83*E68</f>
        <v>6915.7529999999997</v>
      </c>
      <c r="F82" s="16">
        <f>C83*F68</f>
        <v>7054.0680599999996</v>
      </c>
      <c r="G82" s="16">
        <f>C83*G68</f>
        <v>7195.1494211999989</v>
      </c>
      <c r="H82" s="16">
        <f>C83*H68</f>
        <v>7339.0524096239988</v>
      </c>
      <c r="I82" s="16">
        <f>C83*I68</f>
        <v>7485.8334578164777</v>
      </c>
      <c r="J82" s="16">
        <f>C83*J68</f>
        <v>7635.5501269728074</v>
      </c>
      <c r="K82" s="16">
        <f>C83*K68</f>
        <v>7788.2611295122642</v>
      </c>
      <c r="L82" s="16">
        <f>C83*L68</f>
        <v>7944.0263521025099</v>
      </c>
      <c r="M82" s="16">
        <f>C83*M68</f>
        <v>8102.9068791445607</v>
      </c>
    </row>
    <row r="83" spans="1:13" ht="12.75" x14ac:dyDescent="0.2">
      <c r="A83" s="2" t="s">
        <v>44</v>
      </c>
      <c r="B83" s="1"/>
      <c r="C83" s="18">
        <f>H35/100</f>
        <v>0.15</v>
      </c>
      <c r="D83" s="16">
        <f>H36</f>
        <v>0</v>
      </c>
      <c r="E83" s="16">
        <f t="shared" ref="E83:M83" si="10">(1+E73)*D83</f>
        <v>0</v>
      </c>
      <c r="F83" s="16">
        <f t="shared" si="10"/>
        <v>0</v>
      </c>
      <c r="G83" s="16">
        <f t="shared" si="10"/>
        <v>0</v>
      </c>
      <c r="H83" s="16">
        <f t="shared" si="10"/>
        <v>0</v>
      </c>
      <c r="I83" s="16">
        <f t="shared" si="10"/>
        <v>0</v>
      </c>
      <c r="J83" s="16">
        <f t="shared" si="10"/>
        <v>0</v>
      </c>
      <c r="K83" s="16">
        <f t="shared" si="10"/>
        <v>0</v>
      </c>
      <c r="L83" s="16">
        <f t="shared" si="10"/>
        <v>0</v>
      </c>
      <c r="M83" s="16">
        <f t="shared" si="10"/>
        <v>0</v>
      </c>
    </row>
    <row r="84" spans="1:13" ht="12.75" x14ac:dyDescent="0.2">
      <c r="A84" s="2" t="s">
        <v>45</v>
      </c>
      <c r="B84" s="1"/>
      <c r="C84" s="1"/>
      <c r="D84" s="16">
        <f>H37</f>
        <v>0</v>
      </c>
      <c r="E84" s="16">
        <f t="shared" ref="E84:M84" si="11">(1+E73)*D84</f>
        <v>0</v>
      </c>
      <c r="F84" s="16">
        <f t="shared" si="11"/>
        <v>0</v>
      </c>
      <c r="G84" s="16">
        <f t="shared" si="11"/>
        <v>0</v>
      </c>
      <c r="H84" s="16">
        <f t="shared" si="11"/>
        <v>0</v>
      </c>
      <c r="I84" s="16">
        <f t="shared" si="11"/>
        <v>0</v>
      </c>
      <c r="J84" s="16">
        <f t="shared" si="11"/>
        <v>0</v>
      </c>
      <c r="K84" s="16">
        <f t="shared" si="11"/>
        <v>0</v>
      </c>
      <c r="L84" s="16">
        <f t="shared" si="11"/>
        <v>0</v>
      </c>
      <c r="M84" s="16">
        <f t="shared" si="11"/>
        <v>0</v>
      </c>
    </row>
    <row r="85" spans="1:13" ht="12.75" x14ac:dyDescent="0.2">
      <c r="A85" s="2" t="s">
        <v>46</v>
      </c>
      <c r="B85" s="1"/>
      <c r="C85" s="1"/>
      <c r="D85" s="16">
        <f>H38</f>
        <v>0</v>
      </c>
      <c r="E85" s="16">
        <f t="shared" ref="E85:M85" si="12">(1+E73)*D85</f>
        <v>0</v>
      </c>
      <c r="F85" s="16">
        <f t="shared" si="12"/>
        <v>0</v>
      </c>
      <c r="G85" s="16">
        <f t="shared" si="12"/>
        <v>0</v>
      </c>
      <c r="H85" s="16">
        <f t="shared" si="12"/>
        <v>0</v>
      </c>
      <c r="I85" s="16">
        <f t="shared" si="12"/>
        <v>0</v>
      </c>
      <c r="J85" s="16">
        <f t="shared" si="12"/>
        <v>0</v>
      </c>
      <c r="K85" s="16">
        <f t="shared" si="12"/>
        <v>0</v>
      </c>
      <c r="L85" s="16">
        <f t="shared" si="12"/>
        <v>0</v>
      </c>
      <c r="M85" s="16">
        <f t="shared" si="12"/>
        <v>0</v>
      </c>
    </row>
    <row r="86" spans="1:13" ht="12.75" x14ac:dyDescent="0.2">
      <c r="A86" s="2" t="s">
        <v>46</v>
      </c>
      <c r="B86" s="1"/>
      <c r="C86" s="1"/>
      <c r="D86" s="16">
        <f>H40</f>
        <v>0</v>
      </c>
      <c r="E86" s="16">
        <f t="shared" ref="E86:M86" si="13">(1+E73)*D86</f>
        <v>0</v>
      </c>
      <c r="F86" s="16">
        <f t="shared" si="13"/>
        <v>0</v>
      </c>
      <c r="G86" s="16">
        <f t="shared" si="13"/>
        <v>0</v>
      </c>
      <c r="H86" s="16">
        <f t="shared" si="13"/>
        <v>0</v>
      </c>
      <c r="I86" s="16">
        <f t="shared" si="13"/>
        <v>0</v>
      </c>
      <c r="J86" s="16">
        <f t="shared" si="13"/>
        <v>0</v>
      </c>
      <c r="K86" s="16">
        <f t="shared" si="13"/>
        <v>0</v>
      </c>
      <c r="L86" s="16">
        <f t="shared" si="13"/>
        <v>0</v>
      </c>
      <c r="M86" s="16">
        <f t="shared" si="13"/>
        <v>0</v>
      </c>
    </row>
    <row r="87" spans="1:13" ht="12.75" x14ac:dyDescent="0.2">
      <c r="A87" s="2" t="s">
        <v>46</v>
      </c>
      <c r="B87" s="1"/>
      <c r="C87" s="1"/>
      <c r="D87" s="16">
        <f>H41</f>
        <v>0</v>
      </c>
      <c r="E87" s="16">
        <f t="shared" ref="E87:M87" si="14">(1+E73)*D87</f>
        <v>0</v>
      </c>
      <c r="F87" s="16">
        <f t="shared" si="14"/>
        <v>0</v>
      </c>
      <c r="G87" s="16">
        <f t="shared" si="14"/>
        <v>0</v>
      </c>
      <c r="H87" s="16">
        <f t="shared" si="14"/>
        <v>0</v>
      </c>
      <c r="I87" s="16">
        <f t="shared" si="14"/>
        <v>0</v>
      </c>
      <c r="J87" s="16">
        <f t="shared" si="14"/>
        <v>0</v>
      </c>
      <c r="K87" s="16">
        <f t="shared" si="14"/>
        <v>0</v>
      </c>
      <c r="L87" s="16">
        <f t="shared" si="14"/>
        <v>0</v>
      </c>
      <c r="M87" s="16">
        <f t="shared" si="14"/>
        <v>0</v>
      </c>
    </row>
    <row r="88" spans="1:13" ht="12.75" x14ac:dyDescent="0.2">
      <c r="A88" s="2" t="s">
        <v>47</v>
      </c>
      <c r="B88" s="1"/>
      <c r="C88" s="1"/>
      <c r="D88" s="16">
        <f t="shared" ref="D88:M88" si="15">SUM(D74:D87)</f>
        <v>23150.23</v>
      </c>
      <c r="E88" s="16">
        <f t="shared" si="15"/>
        <v>23613.2346</v>
      </c>
      <c r="F88" s="16">
        <f t="shared" si="15"/>
        <v>24085.499292</v>
      </c>
      <c r="G88" s="16">
        <f t="shared" si="15"/>
        <v>24567.20927784</v>
      </c>
      <c r="H88" s="16">
        <f t="shared" si="15"/>
        <v>25058.553463396798</v>
      </c>
      <c r="I88" s="16">
        <f t="shared" si="15"/>
        <v>25559.724532664732</v>
      </c>
      <c r="J88" s="16">
        <f t="shared" si="15"/>
        <v>26070.919023318031</v>
      </c>
      <c r="K88" s="16">
        <f t="shared" si="15"/>
        <v>26592.33740378439</v>
      </c>
      <c r="L88" s="16">
        <f t="shared" si="15"/>
        <v>27124.184151860078</v>
      </c>
      <c r="M88" s="16">
        <f t="shared" si="15"/>
        <v>27666.667834897286</v>
      </c>
    </row>
    <row r="89" spans="1:13" ht="12.75" x14ac:dyDescent="0.2">
      <c r="A89" s="2" t="s">
        <v>140</v>
      </c>
      <c r="B89" s="1"/>
      <c r="C89" s="1"/>
      <c r="D89" s="14">
        <f t="shared" ref="D89:M89" si="16">D88/D68</f>
        <v>0.51216189907302934</v>
      </c>
      <c r="E89" s="14">
        <f t="shared" si="16"/>
        <v>0.51216189907302934</v>
      </c>
      <c r="F89" s="14">
        <f t="shared" si="16"/>
        <v>0.51216189907302934</v>
      </c>
      <c r="G89" s="14">
        <f t="shared" si="16"/>
        <v>0.51216189907302945</v>
      </c>
      <c r="H89" s="14">
        <f t="shared" si="16"/>
        <v>0.51216189907302934</v>
      </c>
      <c r="I89" s="14">
        <f t="shared" si="16"/>
        <v>0.51216189907302934</v>
      </c>
      <c r="J89" s="14">
        <f t="shared" si="16"/>
        <v>0.51216189907302945</v>
      </c>
      <c r="K89" s="14">
        <f t="shared" si="16"/>
        <v>0.51216189907302934</v>
      </c>
      <c r="L89" s="14">
        <f t="shared" si="16"/>
        <v>0.51216189907302934</v>
      </c>
      <c r="M89" s="14">
        <f t="shared" si="16"/>
        <v>0.51216189907302945</v>
      </c>
    </row>
    <row r="90" spans="1:13" ht="12.75" x14ac:dyDescent="0.2">
      <c r="A90" s="1"/>
      <c r="B90" s="1"/>
      <c r="C90" s="1"/>
      <c r="D90" s="3"/>
      <c r="E90" s="3"/>
      <c r="F90" s="3"/>
      <c r="G90" s="3"/>
      <c r="H90" s="3"/>
      <c r="I90" s="3"/>
      <c r="J90" s="3"/>
      <c r="K90" s="3"/>
      <c r="L90" s="3"/>
      <c r="M90" s="3"/>
    </row>
    <row r="91" spans="1:13" ht="12.75" x14ac:dyDescent="0.2">
      <c r="A91" s="1"/>
      <c r="B91" s="1"/>
      <c r="C91" s="1"/>
      <c r="D91" s="3"/>
      <c r="E91" s="3"/>
      <c r="F91" s="3"/>
      <c r="G91" s="3"/>
      <c r="H91" s="3"/>
      <c r="I91" s="3"/>
      <c r="J91" s="3"/>
      <c r="K91" s="3"/>
      <c r="L91" s="3"/>
      <c r="M91" s="3"/>
    </row>
    <row r="92" spans="1:13" ht="12.75" x14ac:dyDescent="0.2">
      <c r="A92" s="2" t="s">
        <v>48</v>
      </c>
      <c r="B92" s="1"/>
      <c r="C92" s="1"/>
      <c r="D92" s="16">
        <f t="shared" ref="D92:M92" si="17">D68-D88</f>
        <v>22050.77</v>
      </c>
      <c r="E92" s="16">
        <f t="shared" si="17"/>
        <v>22491.785399999997</v>
      </c>
      <c r="F92" s="16">
        <f t="shared" si="17"/>
        <v>22941.621107999999</v>
      </c>
      <c r="G92" s="16">
        <f t="shared" si="17"/>
        <v>23400.453530159994</v>
      </c>
      <c r="H92" s="16">
        <f t="shared" si="17"/>
        <v>23868.462600763196</v>
      </c>
      <c r="I92" s="16">
        <f t="shared" si="17"/>
        <v>24345.831852778458</v>
      </c>
      <c r="J92" s="16">
        <f t="shared" si="17"/>
        <v>24832.748489834023</v>
      </c>
      <c r="K92" s="16">
        <f t="shared" si="17"/>
        <v>25329.40345963071</v>
      </c>
      <c r="L92" s="16">
        <f t="shared" si="17"/>
        <v>25835.991528823324</v>
      </c>
      <c r="M92" s="16">
        <f t="shared" si="17"/>
        <v>26352.711359399786</v>
      </c>
    </row>
    <row r="93" spans="1:13" ht="12.75" x14ac:dyDescent="0.2">
      <c r="A93" s="1" t="s">
        <v>141</v>
      </c>
      <c r="B93" s="1"/>
      <c r="C93" s="1"/>
      <c r="D93" s="3"/>
      <c r="E93" s="3"/>
      <c r="F93" s="3"/>
      <c r="G93" s="3"/>
      <c r="H93" s="3"/>
      <c r="I93" s="3"/>
      <c r="J93" s="3"/>
      <c r="K93" s="3"/>
      <c r="L93" s="3"/>
      <c r="M93" s="3"/>
    </row>
    <row r="94" spans="1:13" ht="12.75" x14ac:dyDescent="0.2">
      <c r="A94" s="1"/>
      <c r="B94" s="1"/>
      <c r="C94" s="1"/>
      <c r="D94" s="3"/>
      <c r="E94" s="3"/>
      <c r="F94" s="3"/>
      <c r="G94" s="3"/>
      <c r="H94" s="3"/>
      <c r="I94" s="3"/>
      <c r="J94" s="3"/>
      <c r="K94" s="3"/>
      <c r="L94" s="3"/>
      <c r="M94" s="3"/>
    </row>
    <row r="95" spans="1:13" ht="12.75" x14ac:dyDescent="0.2">
      <c r="A95" s="1"/>
      <c r="B95" s="1"/>
      <c r="C95" s="1"/>
      <c r="D95" s="3"/>
      <c r="E95" s="3"/>
      <c r="F95" s="3"/>
      <c r="G95" s="3"/>
      <c r="H95" s="3"/>
      <c r="I95" s="3"/>
      <c r="J95" s="3"/>
      <c r="K95" s="3"/>
      <c r="L95" s="3"/>
      <c r="M95" s="3"/>
    </row>
    <row r="96" spans="1:13" ht="12.75" x14ac:dyDescent="0.2">
      <c r="A96" s="2" t="s">
        <v>49</v>
      </c>
      <c r="B96" s="1"/>
      <c r="C96" s="1"/>
      <c r="D96" s="31" t="s">
        <v>142</v>
      </c>
      <c r="E96" s="31" t="s">
        <v>117</v>
      </c>
      <c r="F96" s="31" t="s">
        <v>118</v>
      </c>
      <c r="G96" s="31" t="s">
        <v>119</v>
      </c>
      <c r="H96" s="31" t="s">
        <v>120</v>
      </c>
      <c r="I96" s="31" t="s">
        <v>121</v>
      </c>
      <c r="J96" s="31" t="s">
        <v>122</v>
      </c>
      <c r="K96" s="31" t="s">
        <v>123</v>
      </c>
      <c r="L96" s="31" t="s">
        <v>124</v>
      </c>
      <c r="M96" s="31" t="s">
        <v>125</v>
      </c>
    </row>
    <row r="97" spans="1:13" ht="12.75" x14ac:dyDescent="0.2">
      <c r="A97" s="1"/>
      <c r="B97" s="1"/>
      <c r="C97" s="1"/>
      <c r="D97" s="3"/>
      <c r="E97" s="3"/>
      <c r="F97" s="3"/>
      <c r="G97" s="3"/>
      <c r="H97" s="3"/>
      <c r="I97" s="3"/>
      <c r="J97" s="3"/>
      <c r="K97" s="3"/>
      <c r="L97" s="3"/>
      <c r="M97" s="3"/>
    </row>
    <row r="98" spans="1:13" ht="12.75" x14ac:dyDescent="0.2">
      <c r="A98" s="2" t="s">
        <v>50</v>
      </c>
      <c r="B98" s="1"/>
      <c r="C98" s="1"/>
      <c r="D98" s="16">
        <f t="shared" ref="D98:M98" si="18">D92</f>
        <v>22050.77</v>
      </c>
      <c r="E98" s="16">
        <f t="shared" si="18"/>
        <v>22491.785399999997</v>
      </c>
      <c r="F98" s="16">
        <f t="shared" si="18"/>
        <v>22941.621107999999</v>
      </c>
      <c r="G98" s="16">
        <f t="shared" si="18"/>
        <v>23400.453530159994</v>
      </c>
      <c r="H98" s="16">
        <f t="shared" si="18"/>
        <v>23868.462600763196</v>
      </c>
      <c r="I98" s="16">
        <f t="shared" si="18"/>
        <v>24345.831852778458</v>
      </c>
      <c r="J98" s="16">
        <f t="shared" si="18"/>
        <v>24832.748489834023</v>
      </c>
      <c r="K98" s="16">
        <f t="shared" si="18"/>
        <v>25329.40345963071</v>
      </c>
      <c r="L98" s="16">
        <f t="shared" si="18"/>
        <v>25835.991528823324</v>
      </c>
      <c r="M98" s="16">
        <f t="shared" si="18"/>
        <v>26352.711359399786</v>
      </c>
    </row>
    <row r="99" spans="1:13" ht="12.75" x14ac:dyDescent="0.2">
      <c r="A99" s="2" t="s">
        <v>51</v>
      </c>
      <c r="B99" s="1"/>
      <c r="C99" s="1"/>
      <c r="D99" s="16">
        <f>E59</f>
        <v>15202.788363703778</v>
      </c>
      <c r="E99" s="16">
        <f>E59</f>
        <v>15202.788363703778</v>
      </c>
      <c r="F99" s="16">
        <f>E59</f>
        <v>15202.788363703778</v>
      </c>
      <c r="G99" s="16">
        <f>E59</f>
        <v>15202.788363703778</v>
      </c>
      <c r="H99" s="16">
        <f>E59</f>
        <v>15202.788363703778</v>
      </c>
      <c r="I99" s="16">
        <f>E59</f>
        <v>15202.788363703778</v>
      </c>
      <c r="J99" s="16">
        <f>E59</f>
        <v>15202.788363703778</v>
      </c>
      <c r="K99" s="16">
        <f>E59</f>
        <v>15202.788363703778</v>
      </c>
      <c r="L99" s="16">
        <f>E59</f>
        <v>15202.788363703778</v>
      </c>
      <c r="M99" s="16">
        <f>E59</f>
        <v>15202.788363703778</v>
      </c>
    </row>
    <row r="100" spans="1:13" ht="12.75" x14ac:dyDescent="0.2">
      <c r="A100" s="2" t="s">
        <v>49</v>
      </c>
      <c r="B100" s="1"/>
      <c r="C100" s="1"/>
      <c r="D100" s="16">
        <f t="shared" ref="D100:M100" si="19">D98-D99</f>
        <v>6847.9816362962229</v>
      </c>
      <c r="E100" s="16">
        <f t="shared" si="19"/>
        <v>7288.9970362962194</v>
      </c>
      <c r="F100" s="16">
        <f t="shared" si="19"/>
        <v>7738.8327442962218</v>
      </c>
      <c r="G100" s="16">
        <f t="shared" si="19"/>
        <v>8197.665166456216</v>
      </c>
      <c r="H100" s="16">
        <f t="shared" si="19"/>
        <v>8665.6742370594184</v>
      </c>
      <c r="I100" s="16">
        <f t="shared" si="19"/>
        <v>9143.0434890746801</v>
      </c>
      <c r="J100" s="16">
        <f t="shared" si="19"/>
        <v>9629.960126130245</v>
      </c>
      <c r="K100" s="16">
        <f t="shared" si="19"/>
        <v>10126.615095926933</v>
      </c>
      <c r="L100" s="16">
        <f t="shared" si="19"/>
        <v>10633.203165119547</v>
      </c>
      <c r="M100" s="16">
        <f t="shared" si="19"/>
        <v>11149.922995696008</v>
      </c>
    </row>
    <row r="101" spans="1:13" ht="12.75" x14ac:dyDescent="0.2">
      <c r="A101" s="1"/>
      <c r="B101" s="1"/>
      <c r="C101" s="1"/>
      <c r="D101" s="3">
        <f>(D100/4)/12</f>
        <v>142.66628408950464</v>
      </c>
      <c r="E101" s="3"/>
      <c r="F101" s="3"/>
      <c r="G101" s="3"/>
      <c r="H101" s="3"/>
      <c r="I101" s="3"/>
      <c r="J101" s="3"/>
      <c r="K101" s="3"/>
      <c r="L101" s="3"/>
      <c r="M101" s="3"/>
    </row>
    <row r="102" spans="1:13" ht="12.75" x14ac:dyDescent="0.2">
      <c r="A102" s="1"/>
      <c r="B102" s="1"/>
      <c r="C102" s="1"/>
      <c r="D102" s="3"/>
      <c r="E102" s="3"/>
      <c r="F102" s="3"/>
      <c r="G102" s="3"/>
      <c r="H102" s="3"/>
      <c r="I102" s="3"/>
      <c r="J102" s="3"/>
      <c r="K102" s="3"/>
      <c r="L102" s="3"/>
      <c r="M102" s="3"/>
    </row>
    <row r="103" spans="1:13" ht="12.75" x14ac:dyDescent="0.2">
      <c r="A103" s="2" t="s">
        <v>52</v>
      </c>
      <c r="B103" s="1"/>
      <c r="C103" s="1"/>
      <c r="D103" s="31" t="s">
        <v>142</v>
      </c>
      <c r="E103" s="31" t="s">
        <v>117</v>
      </c>
      <c r="F103" s="31" t="s">
        <v>118</v>
      </c>
      <c r="G103" s="31" t="s">
        <v>119</v>
      </c>
      <c r="H103" s="31" t="s">
        <v>120</v>
      </c>
      <c r="I103" s="31" t="s">
        <v>121</v>
      </c>
      <c r="J103" s="31" t="s">
        <v>122</v>
      </c>
      <c r="K103" s="31" t="s">
        <v>123</v>
      </c>
      <c r="L103" s="31" t="s">
        <v>124</v>
      </c>
      <c r="M103" s="31" t="s">
        <v>125</v>
      </c>
    </row>
    <row r="104" spans="1:13" ht="12.75" x14ac:dyDescent="0.2">
      <c r="A104" s="1"/>
      <c r="B104" s="1"/>
      <c r="C104" s="1"/>
      <c r="D104" s="3"/>
      <c r="E104" s="3"/>
      <c r="F104" s="3"/>
      <c r="G104" s="3"/>
      <c r="H104" s="3"/>
      <c r="I104" s="3"/>
      <c r="J104" s="3"/>
      <c r="K104" s="3"/>
      <c r="L104" s="3"/>
      <c r="M104" s="3"/>
    </row>
    <row r="105" spans="1:13" ht="12.75" x14ac:dyDescent="0.2">
      <c r="A105" s="2" t="s">
        <v>50</v>
      </c>
      <c r="B105" s="1"/>
      <c r="C105" s="1"/>
      <c r="D105" s="16">
        <f t="shared" ref="D105:M105" si="20">D92</f>
        <v>22050.77</v>
      </c>
      <c r="E105" s="16">
        <f t="shared" si="20"/>
        <v>22491.785399999997</v>
      </c>
      <c r="F105" s="16">
        <f t="shared" si="20"/>
        <v>22941.621107999999</v>
      </c>
      <c r="G105" s="16">
        <f t="shared" si="20"/>
        <v>23400.453530159994</v>
      </c>
      <c r="H105" s="16">
        <f t="shared" si="20"/>
        <v>23868.462600763196</v>
      </c>
      <c r="I105" s="16">
        <f t="shared" si="20"/>
        <v>24345.831852778458</v>
      </c>
      <c r="J105" s="16">
        <f t="shared" si="20"/>
        <v>24832.748489834023</v>
      </c>
      <c r="K105" s="16">
        <f t="shared" si="20"/>
        <v>25329.40345963071</v>
      </c>
      <c r="L105" s="16">
        <f t="shared" si="20"/>
        <v>25835.991528823324</v>
      </c>
      <c r="M105" s="16">
        <f t="shared" si="20"/>
        <v>26352.711359399786</v>
      </c>
    </row>
    <row r="106" spans="1:13" ht="12.75" x14ac:dyDescent="0.2">
      <c r="A106" s="2" t="s">
        <v>53</v>
      </c>
      <c r="B106" s="1"/>
      <c r="C106" s="1"/>
      <c r="D106" s="16">
        <f t="shared" ref="D106:M106" si="21">D99-D121</f>
        <v>11720.926148164512</v>
      </c>
      <c r="E106" s="16">
        <f t="shared" si="21"/>
        <v>11542.787469054823</v>
      </c>
      <c r="F106" s="16">
        <f t="shared" si="21"/>
        <v>11355.534877035727</v>
      </c>
      <c r="G106" s="16">
        <f t="shared" si="21"/>
        <v>11158.702087025671</v>
      </c>
      <c r="H106" s="16">
        <f t="shared" si="21"/>
        <v>10951.798957913375</v>
      </c>
      <c r="I106" s="16">
        <f t="shared" si="21"/>
        <v>10734.310272037972</v>
      </c>
      <c r="J106" s="16">
        <f t="shared" si="21"/>
        <v>10505.694452225423</v>
      </c>
      <c r="K106" s="16">
        <f t="shared" si="21"/>
        <v>10265.382213185501</v>
      </c>
      <c r="L106" s="16">
        <f t="shared" si="21"/>
        <v>10012.775143911993</v>
      </c>
      <c r="M106" s="16">
        <f t="shared" si="21"/>
        <v>9747.2442175561337</v>
      </c>
    </row>
    <row r="107" spans="1:13" ht="12.75" x14ac:dyDescent="0.2">
      <c r="A107" s="2" t="s">
        <v>54</v>
      </c>
      <c r="B107" s="1"/>
      <c r="C107" s="1"/>
      <c r="D107" s="16">
        <f>H59</f>
        <v>9225.454545454546</v>
      </c>
      <c r="E107" s="16">
        <f t="shared" ref="E107:M107" si="22">D107</f>
        <v>9225.454545454546</v>
      </c>
      <c r="F107" s="16">
        <f t="shared" si="22"/>
        <v>9225.454545454546</v>
      </c>
      <c r="G107" s="16">
        <f t="shared" si="22"/>
        <v>9225.454545454546</v>
      </c>
      <c r="H107" s="16">
        <f t="shared" si="22"/>
        <v>9225.454545454546</v>
      </c>
      <c r="I107" s="16">
        <f t="shared" si="22"/>
        <v>9225.454545454546</v>
      </c>
      <c r="J107" s="16">
        <f t="shared" si="22"/>
        <v>9225.454545454546</v>
      </c>
      <c r="K107" s="16">
        <f t="shared" si="22"/>
        <v>9225.454545454546</v>
      </c>
      <c r="L107" s="16">
        <f t="shared" si="22"/>
        <v>9225.454545454546</v>
      </c>
      <c r="M107" s="16">
        <f t="shared" si="22"/>
        <v>9225.454545454546</v>
      </c>
    </row>
    <row r="108" spans="1:13" ht="12.75" x14ac:dyDescent="0.2">
      <c r="A108" s="2" t="s">
        <v>55</v>
      </c>
      <c r="B108" s="1"/>
      <c r="C108" s="1"/>
      <c r="D108" s="16">
        <f t="shared" ref="D108:M108" si="23">D105-D106-D107</f>
        <v>1104.3893063809428</v>
      </c>
      <c r="E108" s="16">
        <f t="shared" si="23"/>
        <v>1723.5433854906278</v>
      </c>
      <c r="F108" s="16">
        <f t="shared" si="23"/>
        <v>2360.6316855097266</v>
      </c>
      <c r="G108" s="16">
        <f t="shared" si="23"/>
        <v>3016.2968976797765</v>
      </c>
      <c r="H108" s="16">
        <f t="shared" si="23"/>
        <v>3691.2090973952745</v>
      </c>
      <c r="I108" s="16">
        <f t="shared" si="23"/>
        <v>4386.0670352859397</v>
      </c>
      <c r="J108" s="16">
        <f t="shared" si="23"/>
        <v>5101.5994921540532</v>
      </c>
      <c r="K108" s="16">
        <f t="shared" si="23"/>
        <v>5838.5667009906629</v>
      </c>
      <c r="L108" s="16">
        <f t="shared" si="23"/>
        <v>6597.7618394567853</v>
      </c>
      <c r="M108" s="16">
        <f t="shared" si="23"/>
        <v>7380.012596389106</v>
      </c>
    </row>
    <row r="109" spans="1:13" ht="12.75" x14ac:dyDescent="0.2">
      <c r="A109" s="2" t="s">
        <v>56</v>
      </c>
      <c r="B109" s="1"/>
      <c r="C109" s="1"/>
      <c r="D109" s="14">
        <f>C110</f>
        <v>0.22</v>
      </c>
      <c r="E109" s="14">
        <f>C110</f>
        <v>0.22</v>
      </c>
      <c r="F109" s="14">
        <f>C110</f>
        <v>0.22</v>
      </c>
      <c r="G109" s="14">
        <f>C110</f>
        <v>0.22</v>
      </c>
      <c r="H109" s="14">
        <f>C110</f>
        <v>0.22</v>
      </c>
      <c r="I109" s="14">
        <f>C110</f>
        <v>0.22</v>
      </c>
      <c r="J109" s="14">
        <f>C110</f>
        <v>0.22</v>
      </c>
      <c r="K109" s="14">
        <f>C110</f>
        <v>0.22</v>
      </c>
      <c r="L109" s="14">
        <f>C110</f>
        <v>0.22</v>
      </c>
      <c r="M109" s="14">
        <f>C110</f>
        <v>0.22</v>
      </c>
    </row>
    <row r="110" spans="1:13" ht="12.75" x14ac:dyDescent="0.2">
      <c r="A110" s="2" t="s">
        <v>52</v>
      </c>
      <c r="B110" s="1"/>
      <c r="C110" s="18">
        <f>H45/100</f>
        <v>0.22</v>
      </c>
      <c r="D110" s="16">
        <f t="shared" ref="D110:M110" si="24">D108*D109*-1</f>
        <v>-242.96564740380742</v>
      </c>
      <c r="E110" s="16">
        <f t="shared" si="24"/>
        <v>-379.1795448079381</v>
      </c>
      <c r="F110" s="16">
        <f t="shared" si="24"/>
        <v>-519.33897081213991</v>
      </c>
      <c r="G110" s="16">
        <f t="shared" si="24"/>
        <v>-663.58531748955079</v>
      </c>
      <c r="H110" s="16">
        <f t="shared" si="24"/>
        <v>-812.06600142696038</v>
      </c>
      <c r="I110" s="16">
        <f t="shared" si="24"/>
        <v>-964.9347477629068</v>
      </c>
      <c r="J110" s="16">
        <f t="shared" si="24"/>
        <v>-1122.3518882738917</v>
      </c>
      <c r="K110" s="16">
        <f t="shared" si="24"/>
        <v>-1284.4846742179459</v>
      </c>
      <c r="L110" s="16">
        <f t="shared" si="24"/>
        <v>-1451.5076046804927</v>
      </c>
      <c r="M110" s="16">
        <f t="shared" si="24"/>
        <v>-1623.6027712056034</v>
      </c>
    </row>
    <row r="111" spans="1:13" ht="12.75" x14ac:dyDescent="0.2">
      <c r="A111" s="1"/>
      <c r="B111" s="1"/>
      <c r="C111" s="1"/>
      <c r="D111" s="3"/>
      <c r="E111" s="3"/>
      <c r="F111" s="3"/>
      <c r="G111" s="3"/>
      <c r="H111" s="3"/>
      <c r="I111" s="3"/>
      <c r="J111" s="3"/>
      <c r="K111" s="3"/>
      <c r="L111" s="3"/>
      <c r="M111" s="3"/>
    </row>
    <row r="112" spans="1:13" ht="12.75" x14ac:dyDescent="0.2">
      <c r="A112" s="1"/>
      <c r="B112" s="1"/>
      <c r="C112" s="1"/>
      <c r="D112" s="3"/>
      <c r="E112" s="3"/>
      <c r="F112" s="3"/>
      <c r="G112" s="3"/>
      <c r="H112" s="3"/>
      <c r="I112" s="3"/>
      <c r="J112" s="3"/>
      <c r="K112" s="3"/>
      <c r="L112" s="3"/>
      <c r="M112" s="3"/>
    </row>
    <row r="113" spans="1:13" ht="12.75" x14ac:dyDescent="0.2">
      <c r="A113" s="1"/>
      <c r="B113" s="1"/>
      <c r="C113" s="1"/>
      <c r="D113" s="3"/>
      <c r="E113" s="3"/>
      <c r="F113" s="3"/>
      <c r="G113" s="3"/>
      <c r="H113" s="3"/>
      <c r="I113" s="3"/>
      <c r="J113" s="3"/>
      <c r="K113" s="3"/>
      <c r="L113" s="3"/>
      <c r="M113" s="3"/>
    </row>
    <row r="114" spans="1:13" ht="12.75" x14ac:dyDescent="0.2">
      <c r="A114" s="2" t="s">
        <v>104</v>
      </c>
      <c r="B114" s="1"/>
      <c r="C114" s="1"/>
      <c r="D114" s="31" t="s">
        <v>142</v>
      </c>
      <c r="E114" s="31" t="s">
        <v>117</v>
      </c>
      <c r="F114" s="31" t="s">
        <v>118</v>
      </c>
      <c r="G114" s="31" t="s">
        <v>119</v>
      </c>
      <c r="H114" s="31" t="s">
        <v>120</v>
      </c>
      <c r="I114" s="31" t="s">
        <v>121</v>
      </c>
      <c r="J114" s="31" t="s">
        <v>122</v>
      </c>
      <c r="K114" s="31" t="s">
        <v>123</v>
      </c>
      <c r="L114" s="31" t="s">
        <v>124</v>
      </c>
      <c r="M114" s="31" t="s">
        <v>125</v>
      </c>
    </row>
    <row r="115" spans="1:13" ht="12.75" x14ac:dyDescent="0.2">
      <c r="A115" s="1"/>
      <c r="B115" s="1"/>
      <c r="C115" s="1"/>
      <c r="D115" s="3"/>
      <c r="E115" s="3"/>
      <c r="F115" s="3"/>
      <c r="G115" s="3"/>
      <c r="H115" s="3"/>
      <c r="I115" s="3"/>
      <c r="J115" s="3"/>
      <c r="K115" s="3"/>
      <c r="L115" s="3"/>
      <c r="M115" s="3"/>
    </row>
    <row r="116" spans="1:13" ht="12.75" x14ac:dyDescent="0.2">
      <c r="A116" s="2" t="s">
        <v>146</v>
      </c>
      <c r="B116" s="1"/>
      <c r="C116" s="1"/>
      <c r="D116" s="16">
        <f>B59</f>
        <v>236000</v>
      </c>
      <c r="E116" s="16">
        <f t="shared" ref="E116:M116" si="25">D120</f>
        <v>232518.13778446073</v>
      </c>
      <c r="F116" s="16">
        <f t="shared" si="25"/>
        <v>228858.13688981178</v>
      </c>
      <c r="G116" s="16">
        <f t="shared" si="25"/>
        <v>225010.88340314373</v>
      </c>
      <c r="H116" s="16">
        <f t="shared" si="25"/>
        <v>220966.79712646562</v>
      </c>
      <c r="I116" s="16">
        <f t="shared" si="25"/>
        <v>216715.80772067522</v>
      </c>
      <c r="J116" s="16">
        <f t="shared" si="25"/>
        <v>212247.32962900941</v>
      </c>
      <c r="K116" s="16">
        <f t="shared" si="25"/>
        <v>207550.23571753106</v>
      </c>
      <c r="L116" s="16">
        <f t="shared" si="25"/>
        <v>202612.82956701278</v>
      </c>
      <c r="M116" s="16">
        <f t="shared" si="25"/>
        <v>197422.816347221</v>
      </c>
    </row>
    <row r="117" spans="1:13" ht="12.75" hidden="1" x14ac:dyDescent="0.2">
      <c r="A117" s="2" t="s">
        <v>57</v>
      </c>
      <c r="B117" s="1"/>
      <c r="C117" s="1"/>
      <c r="D117" s="19">
        <f>D116*(1+E56/12)^12</f>
        <v>248074.2079000891</v>
      </c>
      <c r="E117" s="19">
        <f>D116*(1+E56/12)^24</f>
        <v>260766.15519176534</v>
      </c>
      <c r="F117" s="19">
        <f>D116*(1+E56/12)^36</f>
        <v>274107.44659469865</v>
      </c>
      <c r="G117" s="19">
        <f>D116*(1+E56/12)^48</f>
        <v>288131.30378599931</v>
      </c>
      <c r="H117" s="19">
        <f>D116*(1+E56/12)^60</f>
        <v>302872.6481268293</v>
      </c>
      <c r="I117" s="19">
        <f>D116*(1+E56/12)^72</f>
        <v>318368.18762146431</v>
      </c>
      <c r="J117" s="19">
        <f>D116*(1+E56/12)^84</f>
        <v>334656.50832534622</v>
      </c>
      <c r="K117" s="19">
        <f>D116*(1+E56/12)^96</f>
        <v>351778.17042974505</v>
      </c>
      <c r="L117" s="19">
        <f>D116*(1+E56/12)^108</f>
        <v>369775.80926229467</v>
      </c>
      <c r="M117" s="19">
        <f>D116*(1+E56/12)^120</f>
        <v>388694.24145490752</v>
      </c>
    </row>
    <row r="118" spans="1:13" ht="12.75" hidden="1" x14ac:dyDescent="0.2">
      <c r="A118" s="2" t="s">
        <v>58</v>
      </c>
      <c r="B118" s="1"/>
      <c r="C118" s="1"/>
      <c r="D118" s="20">
        <f>(1+E56/12)^12-1</f>
        <v>5.116189788173342E-2</v>
      </c>
      <c r="E118" s="20">
        <f>(1+E56/12)^24-1</f>
        <v>0.10494133555832774</v>
      </c>
      <c r="F118" s="20">
        <f>(1+E56/12)^36-1</f>
        <v>0.16147223133346889</v>
      </c>
      <c r="G118" s="20">
        <f>(1+E56/12)^48-1</f>
        <v>0.2208953550254209</v>
      </c>
      <c r="H118" s="20">
        <f>(1+E56/12)^60-1</f>
        <v>0.28335867850351404</v>
      </c>
      <c r="I118" s="20">
        <f>(1+E56/12)^72-1</f>
        <v>0.3490177441587472</v>
      </c>
      <c r="J118" s="20">
        <f>(1+E56/12)^84-1</f>
        <v>0.41803605222604334</v>
      </c>
      <c r="K118" s="20">
        <f>(1+E56/12)^96-1</f>
        <v>0.49058546792264845</v>
      </c>
      <c r="L118" s="20">
        <f>(1+E56/12)^108-1</f>
        <v>0.56684664941650276</v>
      </c>
      <c r="M118" s="20">
        <f>(1+E56/12)^120-1</f>
        <v>0.64700949769028604</v>
      </c>
    </row>
    <row r="119" spans="1:13" ht="12.75" hidden="1" x14ac:dyDescent="0.2">
      <c r="A119" s="2" t="s">
        <v>59</v>
      </c>
      <c r="B119" s="1"/>
      <c r="C119" s="1"/>
      <c r="D119" s="19">
        <f>(E58)/(E56/12)*(D118)</f>
        <v>15556.070115628358</v>
      </c>
      <c r="E119" s="19">
        <f>(E58)/(E56/12)*(E118)</f>
        <v>31908.018301953573</v>
      </c>
      <c r="F119" s="19">
        <f>(E58)/(E56/12)*(F118)</f>
        <v>49096.563191554909</v>
      </c>
      <c r="G119" s="19">
        <f>(E58)/(E56/12)*(G118)</f>
        <v>67164.506659533683</v>
      </c>
      <c r="H119" s="19">
        <f>(E58)/(E56/12)*(H118)</f>
        <v>86156.840406154079</v>
      </c>
      <c r="I119" s="19">
        <f>(E58)/(E56/12)*(I118)</f>
        <v>106120.8579924549</v>
      </c>
      <c r="J119" s="19">
        <f>(E58)/(E56/12)*(J118)</f>
        <v>127106.27260781515</v>
      </c>
      <c r="K119" s="19">
        <f>(E58)/(E56/12)*(K118)</f>
        <v>149165.34086273226</v>
      </c>
      <c r="L119" s="19">
        <f>(E58)/(E56/12)*(L118)</f>
        <v>172352.99291507367</v>
      </c>
      <c r="M119" s="19">
        <f>(E58)/(E56/12)*(M118)</f>
        <v>196726.96925383416</v>
      </c>
    </row>
    <row r="120" spans="1:13" ht="12.75" x14ac:dyDescent="0.2">
      <c r="A120" s="2" t="s">
        <v>145</v>
      </c>
      <c r="B120" s="1"/>
      <c r="C120" s="1"/>
      <c r="D120" s="16">
        <f t="shared" ref="D120:M120" si="26">D117-D119</f>
        <v>232518.13778446073</v>
      </c>
      <c r="E120" s="16">
        <f t="shared" si="26"/>
        <v>228858.13688981178</v>
      </c>
      <c r="F120" s="16">
        <f t="shared" si="26"/>
        <v>225010.88340314373</v>
      </c>
      <c r="G120" s="16">
        <f t="shared" si="26"/>
        <v>220966.79712646562</v>
      </c>
      <c r="H120" s="16">
        <f t="shared" si="26"/>
        <v>216715.80772067522</v>
      </c>
      <c r="I120" s="16">
        <f t="shared" si="26"/>
        <v>212247.32962900941</v>
      </c>
      <c r="J120" s="16">
        <f t="shared" si="26"/>
        <v>207550.23571753106</v>
      </c>
      <c r="K120" s="16">
        <f t="shared" si="26"/>
        <v>202612.82956701278</v>
      </c>
      <c r="L120" s="16">
        <f t="shared" si="26"/>
        <v>197422.816347221</v>
      </c>
      <c r="M120" s="16">
        <f t="shared" si="26"/>
        <v>191967.27220107336</v>
      </c>
    </row>
    <row r="121" spans="1:13" ht="12.75" x14ac:dyDescent="0.2">
      <c r="A121" s="2" t="s">
        <v>105</v>
      </c>
      <c r="B121" s="1"/>
      <c r="C121" s="1"/>
      <c r="D121" s="16">
        <f t="shared" ref="D121:M121" si="27">D116-D120</f>
        <v>3481.8622155392659</v>
      </c>
      <c r="E121" s="16">
        <f t="shared" si="27"/>
        <v>3660.0008946489543</v>
      </c>
      <c r="F121" s="16">
        <f t="shared" si="27"/>
        <v>3847.2534866680508</v>
      </c>
      <c r="G121" s="16">
        <f t="shared" si="27"/>
        <v>4044.0862766781065</v>
      </c>
      <c r="H121" s="16">
        <f t="shared" si="27"/>
        <v>4250.9894057904021</v>
      </c>
      <c r="I121" s="16">
        <f t="shared" si="27"/>
        <v>4468.4780916658056</v>
      </c>
      <c r="J121" s="16">
        <f t="shared" si="27"/>
        <v>4697.0939114783541</v>
      </c>
      <c r="K121" s="16">
        <f t="shared" si="27"/>
        <v>4937.4061505182763</v>
      </c>
      <c r="L121" s="16">
        <f t="shared" si="27"/>
        <v>5190.0132197917846</v>
      </c>
      <c r="M121" s="16">
        <f t="shared" si="27"/>
        <v>5455.5441461476439</v>
      </c>
    </row>
    <row r="122" spans="1:13" ht="12.75" x14ac:dyDescent="0.2">
      <c r="A122" s="1"/>
      <c r="B122" s="1"/>
      <c r="C122" s="1"/>
      <c r="D122" s="3"/>
      <c r="E122" s="3"/>
      <c r="F122" s="3"/>
      <c r="G122" s="3"/>
      <c r="H122" s="3"/>
      <c r="I122" s="3"/>
      <c r="J122" s="3"/>
      <c r="K122" s="3"/>
      <c r="L122" s="3"/>
      <c r="M122" s="3"/>
    </row>
    <row r="123" spans="1:13" ht="12.75" x14ac:dyDescent="0.2">
      <c r="A123" s="1"/>
      <c r="B123" s="1"/>
      <c r="C123" s="1"/>
      <c r="D123" s="3"/>
      <c r="E123" s="3"/>
      <c r="F123" s="3"/>
      <c r="G123" s="3"/>
      <c r="H123" s="3"/>
      <c r="I123" s="3"/>
      <c r="J123" s="3"/>
      <c r="K123" s="3"/>
      <c r="L123" s="3"/>
      <c r="M123" s="3"/>
    </row>
    <row r="124" spans="1:13" ht="12.75" x14ac:dyDescent="0.2">
      <c r="A124" s="1"/>
      <c r="B124" s="1"/>
      <c r="C124" s="1"/>
      <c r="D124" s="3"/>
      <c r="E124" s="3"/>
      <c r="F124" s="3"/>
      <c r="G124" s="3"/>
      <c r="H124" s="3"/>
      <c r="I124" s="3"/>
      <c r="J124" s="3"/>
      <c r="K124" s="3"/>
      <c r="L124" s="3"/>
      <c r="M124" s="3"/>
    </row>
    <row r="125" spans="1:13" ht="12.75" x14ac:dyDescent="0.2">
      <c r="A125" s="2" t="s">
        <v>144</v>
      </c>
      <c r="B125" s="1"/>
      <c r="C125" s="1"/>
      <c r="D125" s="31" t="s">
        <v>142</v>
      </c>
      <c r="E125" s="31" t="s">
        <v>117</v>
      </c>
      <c r="F125" s="31" t="s">
        <v>118</v>
      </c>
      <c r="G125" s="31" t="s">
        <v>119</v>
      </c>
      <c r="H125" s="31" t="s">
        <v>120</v>
      </c>
      <c r="I125" s="31" t="s">
        <v>121</v>
      </c>
      <c r="J125" s="31" t="s">
        <v>122</v>
      </c>
      <c r="K125" s="31" t="s">
        <v>123</v>
      </c>
      <c r="L125" s="31" t="s">
        <v>124</v>
      </c>
      <c r="M125" s="31" t="s">
        <v>125</v>
      </c>
    </row>
    <row r="126" spans="1:13" ht="12.75" x14ac:dyDescent="0.2">
      <c r="A126" s="1"/>
      <c r="B126" s="1"/>
      <c r="C126" s="1"/>
      <c r="D126" s="3"/>
      <c r="E126" s="3"/>
      <c r="F126" s="3"/>
      <c r="G126" s="3"/>
      <c r="H126" s="3"/>
      <c r="I126" s="3"/>
      <c r="J126" s="3"/>
      <c r="K126" s="3"/>
      <c r="L126" s="3"/>
      <c r="M126" s="3"/>
    </row>
    <row r="127" spans="1:13" ht="12.75" x14ac:dyDescent="0.2">
      <c r="A127" s="2" t="s">
        <v>147</v>
      </c>
      <c r="B127" s="1"/>
      <c r="C127" s="1"/>
      <c r="D127" s="14">
        <f>C128</f>
        <v>0</v>
      </c>
      <c r="E127" s="14">
        <f>C128</f>
        <v>0</v>
      </c>
      <c r="F127" s="14">
        <f>C128</f>
        <v>0</v>
      </c>
      <c r="G127" s="14">
        <f>C128</f>
        <v>0</v>
      </c>
      <c r="H127" s="14">
        <f>C128</f>
        <v>0</v>
      </c>
      <c r="I127" s="14">
        <f>C128</f>
        <v>0</v>
      </c>
      <c r="J127" s="14">
        <f>C128</f>
        <v>0</v>
      </c>
      <c r="K127" s="14">
        <f>C128</f>
        <v>0</v>
      </c>
      <c r="L127" s="14">
        <f>C128</f>
        <v>0</v>
      </c>
      <c r="M127" s="14">
        <f>C128</f>
        <v>0</v>
      </c>
    </row>
    <row r="128" spans="1:13" ht="12.75" x14ac:dyDescent="0.2">
      <c r="A128" s="2" t="s">
        <v>112</v>
      </c>
      <c r="B128" s="1"/>
      <c r="C128" s="18">
        <f>H44/100</f>
        <v>0</v>
      </c>
      <c r="D128" s="16">
        <f>B57</f>
        <v>295000</v>
      </c>
      <c r="E128" s="16">
        <f t="shared" ref="E128:M128" si="28">D129</f>
        <v>295000</v>
      </c>
      <c r="F128" s="16">
        <f t="shared" si="28"/>
        <v>295000</v>
      </c>
      <c r="G128" s="16">
        <f t="shared" si="28"/>
        <v>295000</v>
      </c>
      <c r="H128" s="16">
        <f t="shared" si="28"/>
        <v>295000</v>
      </c>
      <c r="I128" s="16">
        <f t="shared" si="28"/>
        <v>295000</v>
      </c>
      <c r="J128" s="16">
        <f t="shared" si="28"/>
        <v>295000</v>
      </c>
      <c r="K128" s="16">
        <f t="shared" si="28"/>
        <v>295000</v>
      </c>
      <c r="L128" s="16">
        <f t="shared" si="28"/>
        <v>295000</v>
      </c>
      <c r="M128" s="16">
        <f t="shared" si="28"/>
        <v>295000</v>
      </c>
    </row>
    <row r="129" spans="1:13" ht="12.75" x14ac:dyDescent="0.2">
      <c r="A129" s="2" t="s">
        <v>60</v>
      </c>
      <c r="B129" s="1"/>
      <c r="C129" s="1"/>
      <c r="D129" s="16">
        <f t="shared" ref="D129:M129" si="29">(1+D127)*D128</f>
        <v>295000</v>
      </c>
      <c r="E129" s="16">
        <f t="shared" si="29"/>
        <v>295000</v>
      </c>
      <c r="F129" s="16">
        <f t="shared" si="29"/>
        <v>295000</v>
      </c>
      <c r="G129" s="16">
        <f t="shared" si="29"/>
        <v>295000</v>
      </c>
      <c r="H129" s="16">
        <f t="shared" si="29"/>
        <v>295000</v>
      </c>
      <c r="I129" s="16">
        <f t="shared" si="29"/>
        <v>295000</v>
      </c>
      <c r="J129" s="16">
        <f t="shared" si="29"/>
        <v>295000</v>
      </c>
      <c r="K129" s="16">
        <f t="shared" si="29"/>
        <v>295000</v>
      </c>
      <c r="L129" s="16">
        <f t="shared" si="29"/>
        <v>295000</v>
      </c>
      <c r="M129" s="16">
        <f t="shared" si="29"/>
        <v>295000</v>
      </c>
    </row>
    <row r="130" spans="1:13" ht="12.75" x14ac:dyDescent="0.2">
      <c r="A130" s="2" t="s">
        <v>148</v>
      </c>
      <c r="B130" s="1"/>
      <c r="C130" s="1"/>
      <c r="D130" s="16">
        <f t="shared" ref="D130:M130" si="30">D129-D128</f>
        <v>0</v>
      </c>
      <c r="E130" s="16">
        <f t="shared" si="30"/>
        <v>0</v>
      </c>
      <c r="F130" s="16">
        <f t="shared" si="30"/>
        <v>0</v>
      </c>
      <c r="G130" s="16">
        <f t="shared" si="30"/>
        <v>0</v>
      </c>
      <c r="H130" s="16">
        <f t="shared" si="30"/>
        <v>0</v>
      </c>
      <c r="I130" s="16">
        <f t="shared" si="30"/>
        <v>0</v>
      </c>
      <c r="J130" s="16">
        <f t="shared" si="30"/>
        <v>0</v>
      </c>
      <c r="K130" s="16">
        <f t="shared" si="30"/>
        <v>0</v>
      </c>
      <c r="L130" s="16">
        <f t="shared" si="30"/>
        <v>0</v>
      </c>
      <c r="M130" s="16">
        <f t="shared" si="30"/>
        <v>0</v>
      </c>
    </row>
    <row r="131" spans="1:13" ht="12.75" x14ac:dyDescent="0.2">
      <c r="A131" s="1"/>
      <c r="B131" s="1"/>
      <c r="C131" s="1"/>
      <c r="D131" s="3"/>
      <c r="E131" s="3"/>
      <c r="F131" s="3"/>
      <c r="G131" s="3"/>
      <c r="H131" s="3"/>
      <c r="I131" s="3"/>
      <c r="J131" s="3"/>
      <c r="K131" s="3"/>
      <c r="L131" s="3"/>
      <c r="M131" s="3"/>
    </row>
    <row r="132" spans="1:13" ht="12.75" x14ac:dyDescent="0.2">
      <c r="A132" s="1"/>
      <c r="B132" s="1"/>
      <c r="C132" s="1"/>
      <c r="D132" s="3"/>
      <c r="E132" s="2" t="s">
        <v>106</v>
      </c>
      <c r="F132" s="3"/>
      <c r="G132" s="3"/>
      <c r="H132" s="3"/>
      <c r="I132" s="3"/>
      <c r="J132" s="3"/>
      <c r="K132" s="3"/>
      <c r="L132" s="4" t="s">
        <v>182</v>
      </c>
      <c r="M132" s="3"/>
    </row>
    <row r="133" spans="1:13" ht="12.75" x14ac:dyDescent="0.2">
      <c r="A133" s="1"/>
      <c r="B133" s="1"/>
      <c r="C133" s="1"/>
      <c r="D133" s="3"/>
      <c r="E133" s="3"/>
      <c r="F133" s="3"/>
      <c r="G133" s="3"/>
      <c r="H133" s="3"/>
      <c r="I133" s="3"/>
      <c r="J133" s="3"/>
      <c r="K133" s="3"/>
      <c r="L133" s="3"/>
      <c r="M133" s="3"/>
    </row>
    <row r="134" spans="1:13" ht="12.75" x14ac:dyDescent="0.2">
      <c r="A134" s="2" t="s">
        <v>149</v>
      </c>
      <c r="B134" s="1"/>
      <c r="C134" s="1"/>
      <c r="D134" s="3"/>
      <c r="E134" s="3"/>
      <c r="F134" s="3"/>
      <c r="G134" s="3"/>
      <c r="H134" s="3"/>
      <c r="I134" s="3"/>
      <c r="J134" s="3"/>
      <c r="K134" s="3"/>
      <c r="L134" s="3"/>
      <c r="M134" s="3"/>
    </row>
    <row r="135" spans="1:13" ht="12.75" x14ac:dyDescent="0.2">
      <c r="A135" s="1"/>
      <c r="B135" s="1"/>
      <c r="C135" s="1"/>
      <c r="D135" s="3"/>
      <c r="E135" s="3"/>
      <c r="F135" s="3"/>
      <c r="G135" s="3"/>
      <c r="H135" s="3"/>
      <c r="I135" s="3"/>
      <c r="J135" s="3"/>
      <c r="K135" s="3"/>
      <c r="L135" s="3"/>
      <c r="M135" s="3"/>
    </row>
    <row r="136" spans="1:13" ht="12.75" x14ac:dyDescent="0.2">
      <c r="A136" s="1"/>
      <c r="B136" s="1"/>
      <c r="C136" s="1"/>
      <c r="D136" s="31" t="s">
        <v>142</v>
      </c>
      <c r="E136" s="31" t="s">
        <v>117</v>
      </c>
      <c r="F136" s="31" t="s">
        <v>118</v>
      </c>
      <c r="G136" s="31" t="s">
        <v>119</v>
      </c>
      <c r="H136" s="31" t="s">
        <v>120</v>
      </c>
      <c r="I136" s="31" t="s">
        <v>121</v>
      </c>
      <c r="J136" s="31" t="s">
        <v>122</v>
      </c>
      <c r="K136" s="31" t="s">
        <v>123</v>
      </c>
      <c r="L136" s="31" t="s">
        <v>124</v>
      </c>
      <c r="M136" s="31" t="s">
        <v>125</v>
      </c>
    </row>
    <row r="137" spans="1:13" ht="12.75" x14ac:dyDescent="0.2">
      <c r="A137" s="1"/>
      <c r="B137" s="1"/>
      <c r="C137" s="1"/>
      <c r="D137" s="3"/>
      <c r="E137" s="3"/>
      <c r="F137" s="3"/>
      <c r="G137" s="3"/>
      <c r="H137" s="3"/>
      <c r="I137" s="3"/>
      <c r="J137" s="3"/>
      <c r="K137" s="3"/>
      <c r="L137" s="3"/>
      <c r="M137" s="3"/>
    </row>
    <row r="138" spans="1:13" ht="12.75" x14ac:dyDescent="0.2">
      <c r="A138" s="2" t="s">
        <v>61</v>
      </c>
      <c r="B138" s="1"/>
      <c r="C138" s="1"/>
      <c r="D138" s="16">
        <f t="shared" ref="D138:M138" si="31">D100</f>
        <v>6847.9816362962229</v>
      </c>
      <c r="E138" s="16">
        <f t="shared" si="31"/>
        <v>7288.9970362962194</v>
      </c>
      <c r="F138" s="16">
        <f t="shared" si="31"/>
        <v>7738.8327442962218</v>
      </c>
      <c r="G138" s="16">
        <f t="shared" si="31"/>
        <v>8197.665166456216</v>
      </c>
      <c r="H138" s="16">
        <f t="shared" si="31"/>
        <v>8665.6742370594184</v>
      </c>
      <c r="I138" s="16">
        <f t="shared" si="31"/>
        <v>9143.0434890746801</v>
      </c>
      <c r="J138" s="16">
        <f t="shared" si="31"/>
        <v>9629.960126130245</v>
      </c>
      <c r="K138" s="16">
        <f t="shared" si="31"/>
        <v>10126.615095926933</v>
      </c>
      <c r="L138" s="16">
        <f t="shared" si="31"/>
        <v>10633.203165119547</v>
      </c>
      <c r="M138" s="16">
        <f t="shared" si="31"/>
        <v>11149.922995696008</v>
      </c>
    </row>
    <row r="139" spans="1:13" ht="12.75" x14ac:dyDescent="0.2">
      <c r="A139" s="2" t="s">
        <v>62</v>
      </c>
      <c r="B139" s="1"/>
      <c r="C139" s="1"/>
      <c r="D139" s="16">
        <f t="shared" ref="D139:M139" si="32">D110</f>
        <v>-242.96564740380742</v>
      </c>
      <c r="E139" s="16">
        <f t="shared" si="32"/>
        <v>-379.1795448079381</v>
      </c>
      <c r="F139" s="16">
        <f t="shared" si="32"/>
        <v>-519.33897081213991</v>
      </c>
      <c r="G139" s="16">
        <f t="shared" si="32"/>
        <v>-663.58531748955079</v>
      </c>
      <c r="H139" s="16">
        <f t="shared" si="32"/>
        <v>-812.06600142696038</v>
      </c>
      <c r="I139" s="16">
        <f t="shared" si="32"/>
        <v>-964.9347477629068</v>
      </c>
      <c r="J139" s="16">
        <f t="shared" si="32"/>
        <v>-1122.3518882738917</v>
      </c>
      <c r="K139" s="16">
        <f t="shared" si="32"/>
        <v>-1284.4846742179459</v>
      </c>
      <c r="L139" s="16">
        <f t="shared" si="32"/>
        <v>-1451.5076046804927</v>
      </c>
      <c r="M139" s="16">
        <f t="shared" si="32"/>
        <v>-1623.6027712056034</v>
      </c>
    </row>
    <row r="140" spans="1:13" ht="12.75" x14ac:dyDescent="0.2">
      <c r="A140" s="2" t="s">
        <v>63</v>
      </c>
      <c r="B140" s="1"/>
      <c r="C140" s="1"/>
      <c r="D140" s="16">
        <f t="shared" ref="D140:M140" si="33">D121</f>
        <v>3481.8622155392659</v>
      </c>
      <c r="E140" s="16">
        <f t="shared" si="33"/>
        <v>3660.0008946489543</v>
      </c>
      <c r="F140" s="16">
        <f t="shared" si="33"/>
        <v>3847.2534866680508</v>
      </c>
      <c r="G140" s="16">
        <f t="shared" si="33"/>
        <v>4044.0862766781065</v>
      </c>
      <c r="H140" s="16">
        <f t="shared" si="33"/>
        <v>4250.9894057904021</v>
      </c>
      <c r="I140" s="16">
        <f t="shared" si="33"/>
        <v>4468.4780916658056</v>
      </c>
      <c r="J140" s="16">
        <f t="shared" si="33"/>
        <v>4697.0939114783541</v>
      </c>
      <c r="K140" s="16">
        <f t="shared" si="33"/>
        <v>4937.4061505182763</v>
      </c>
      <c r="L140" s="16">
        <f t="shared" si="33"/>
        <v>5190.0132197917846</v>
      </c>
      <c r="M140" s="16">
        <f t="shared" si="33"/>
        <v>5455.5441461476439</v>
      </c>
    </row>
    <row r="141" spans="1:13" ht="12.75" x14ac:dyDescent="0.2">
      <c r="A141" s="2" t="s">
        <v>64</v>
      </c>
      <c r="B141" s="1"/>
      <c r="C141" s="1"/>
      <c r="D141" s="16">
        <f t="shared" ref="D141:M141" si="34">D130</f>
        <v>0</v>
      </c>
      <c r="E141" s="16">
        <f t="shared" si="34"/>
        <v>0</v>
      </c>
      <c r="F141" s="16">
        <f t="shared" si="34"/>
        <v>0</v>
      </c>
      <c r="G141" s="16">
        <f t="shared" si="34"/>
        <v>0</v>
      </c>
      <c r="H141" s="16">
        <f t="shared" si="34"/>
        <v>0</v>
      </c>
      <c r="I141" s="16">
        <f t="shared" si="34"/>
        <v>0</v>
      </c>
      <c r="J141" s="16">
        <f t="shared" si="34"/>
        <v>0</v>
      </c>
      <c r="K141" s="16">
        <f t="shared" si="34"/>
        <v>0</v>
      </c>
      <c r="L141" s="16">
        <f t="shared" si="34"/>
        <v>0</v>
      </c>
      <c r="M141" s="16">
        <f t="shared" si="34"/>
        <v>0</v>
      </c>
    </row>
    <row r="142" spans="1:13" ht="12.75" x14ac:dyDescent="0.2">
      <c r="A142" s="2" t="s">
        <v>65</v>
      </c>
      <c r="B142" s="1"/>
      <c r="C142" s="1"/>
      <c r="D142" s="16">
        <f t="shared" ref="D142:M142" si="35">SUM(D138:D141)</f>
        <v>10086.878204431681</v>
      </c>
      <c r="E142" s="16">
        <f t="shared" si="35"/>
        <v>10569.818386137234</v>
      </c>
      <c r="F142" s="16">
        <f t="shared" si="35"/>
        <v>11066.747260152133</v>
      </c>
      <c r="G142" s="16">
        <f t="shared" si="35"/>
        <v>11578.166125644771</v>
      </c>
      <c r="H142" s="16">
        <f t="shared" si="35"/>
        <v>12104.597641422861</v>
      </c>
      <c r="I142" s="16">
        <f t="shared" si="35"/>
        <v>12646.586832977579</v>
      </c>
      <c r="J142" s="16">
        <f t="shared" si="35"/>
        <v>13204.702149334707</v>
      </c>
      <c r="K142" s="16">
        <f t="shared" si="35"/>
        <v>13779.536572227264</v>
      </c>
      <c r="L142" s="16">
        <f t="shared" si="35"/>
        <v>14371.708780230838</v>
      </c>
      <c r="M142" s="16">
        <f t="shared" si="35"/>
        <v>14981.864370638048</v>
      </c>
    </row>
    <row r="143" spans="1:13" ht="12.75" x14ac:dyDescent="0.2">
      <c r="A143" s="1"/>
      <c r="B143" s="1"/>
      <c r="C143" s="1"/>
      <c r="D143" s="3"/>
      <c r="E143" s="3"/>
      <c r="F143" s="3"/>
      <c r="G143" s="3"/>
      <c r="H143" s="3"/>
      <c r="I143" s="3"/>
      <c r="J143" s="3"/>
      <c r="K143" s="3"/>
      <c r="L143" s="3"/>
      <c r="M143" s="3"/>
    </row>
    <row r="144" spans="1:13" ht="12.75" x14ac:dyDescent="0.2">
      <c r="A144" s="2" t="s">
        <v>66</v>
      </c>
      <c r="B144" s="1"/>
      <c r="C144" s="1"/>
      <c r="D144" s="3"/>
      <c r="E144" s="3"/>
      <c r="F144" s="3"/>
      <c r="G144" s="3"/>
      <c r="H144" s="3"/>
      <c r="I144" s="3"/>
      <c r="J144" s="3"/>
      <c r="K144" s="3"/>
      <c r="L144" s="3"/>
      <c r="M144" s="3"/>
    </row>
    <row r="145" spans="1:13" ht="12.75" x14ac:dyDescent="0.2">
      <c r="A145" s="2" t="s">
        <v>67</v>
      </c>
      <c r="B145" s="1"/>
      <c r="C145" s="1"/>
      <c r="D145" s="16">
        <f>B58</f>
        <v>59000</v>
      </c>
      <c r="E145" s="16">
        <f t="shared" ref="E145:M145" si="36">D145</f>
        <v>59000</v>
      </c>
      <c r="F145" s="16">
        <f t="shared" si="36"/>
        <v>59000</v>
      </c>
      <c r="G145" s="16">
        <f t="shared" si="36"/>
        <v>59000</v>
      </c>
      <c r="H145" s="16">
        <f t="shared" si="36"/>
        <v>59000</v>
      </c>
      <c r="I145" s="16">
        <f t="shared" si="36"/>
        <v>59000</v>
      </c>
      <c r="J145" s="16">
        <f t="shared" si="36"/>
        <v>59000</v>
      </c>
      <c r="K145" s="16">
        <f t="shared" si="36"/>
        <v>59000</v>
      </c>
      <c r="L145" s="16">
        <f t="shared" si="36"/>
        <v>59000</v>
      </c>
      <c r="M145" s="16">
        <f t="shared" si="36"/>
        <v>59000</v>
      </c>
    </row>
    <row r="146" spans="1:13" ht="12.75" x14ac:dyDescent="0.2">
      <c r="A146" s="2" t="s">
        <v>150</v>
      </c>
      <c r="B146" s="1"/>
      <c r="C146" s="1"/>
      <c r="D146" s="21">
        <f>H48</f>
        <v>0</v>
      </c>
      <c r="E146" s="21">
        <f>D146</f>
        <v>0</v>
      </c>
      <c r="F146" s="21">
        <f t="shared" ref="F146:M146" si="37">E146</f>
        <v>0</v>
      </c>
      <c r="G146" s="21">
        <f t="shared" si="37"/>
        <v>0</v>
      </c>
      <c r="H146" s="21">
        <f t="shared" si="37"/>
        <v>0</v>
      </c>
      <c r="I146" s="21">
        <f t="shared" si="37"/>
        <v>0</v>
      </c>
      <c r="J146" s="21">
        <f t="shared" si="37"/>
        <v>0</v>
      </c>
      <c r="K146" s="21">
        <f t="shared" si="37"/>
        <v>0</v>
      </c>
      <c r="L146" s="21">
        <f t="shared" si="37"/>
        <v>0</v>
      </c>
      <c r="M146" s="21">
        <f t="shared" si="37"/>
        <v>0</v>
      </c>
    </row>
    <row r="147" spans="1:13" ht="12.75" x14ac:dyDescent="0.2">
      <c r="A147" s="2" t="s">
        <v>151</v>
      </c>
      <c r="B147" s="1"/>
      <c r="C147" s="1"/>
      <c r="D147" s="16">
        <f>SUM(D145:D146)</f>
        <v>59000</v>
      </c>
      <c r="E147" s="16">
        <f t="shared" ref="E147:M147" si="38">SUM(E145:E146)</f>
        <v>59000</v>
      </c>
      <c r="F147" s="16">
        <f t="shared" si="38"/>
        <v>59000</v>
      </c>
      <c r="G147" s="16">
        <f t="shared" si="38"/>
        <v>59000</v>
      </c>
      <c r="H147" s="16">
        <f t="shared" si="38"/>
        <v>59000</v>
      </c>
      <c r="I147" s="16">
        <f t="shared" si="38"/>
        <v>59000</v>
      </c>
      <c r="J147" s="16">
        <f t="shared" si="38"/>
        <v>59000</v>
      </c>
      <c r="K147" s="16">
        <f t="shared" si="38"/>
        <v>59000</v>
      </c>
      <c r="L147" s="16">
        <f t="shared" si="38"/>
        <v>59000</v>
      </c>
      <c r="M147" s="16">
        <f t="shared" si="38"/>
        <v>59000</v>
      </c>
    </row>
    <row r="148" spans="1:13" ht="12.75" x14ac:dyDescent="0.2">
      <c r="A148" s="1"/>
      <c r="B148" s="1"/>
      <c r="C148" s="1"/>
      <c r="D148" s="3"/>
      <c r="E148" s="3"/>
      <c r="F148" s="3"/>
      <c r="G148" s="3"/>
      <c r="H148" s="3"/>
      <c r="I148" s="3"/>
      <c r="J148" s="3"/>
      <c r="K148" s="3"/>
      <c r="L148" s="3"/>
      <c r="M148" s="3"/>
    </row>
    <row r="149" spans="1:13" ht="12.75" x14ac:dyDescent="0.2">
      <c r="A149" s="2" t="s">
        <v>68</v>
      </c>
      <c r="B149" s="1"/>
      <c r="C149" s="1"/>
      <c r="D149" s="14">
        <f>D142/D147</f>
        <v>0.17096403736324883</v>
      </c>
      <c r="E149" s="14">
        <f t="shared" ref="E149:M149" si="39">E142/E147</f>
        <v>0.17914946417181754</v>
      </c>
      <c r="F149" s="14">
        <f t="shared" si="39"/>
        <v>0.18757198746020565</v>
      </c>
      <c r="G149" s="14">
        <f t="shared" si="39"/>
        <v>0.19624010382448764</v>
      </c>
      <c r="H149" s="14">
        <f t="shared" si="39"/>
        <v>0.20516267188852305</v>
      </c>
      <c r="I149" s="14">
        <f t="shared" si="39"/>
        <v>0.21434892937250133</v>
      </c>
      <c r="J149" s="14">
        <f t="shared" si="39"/>
        <v>0.22380851100567301</v>
      </c>
      <c r="K149" s="14">
        <f t="shared" si="39"/>
        <v>0.23355146732588583</v>
      </c>
      <c r="L149" s="14">
        <f t="shared" si="39"/>
        <v>0.24358828441069216</v>
      </c>
      <c r="M149" s="14">
        <f t="shared" si="39"/>
        <v>0.25392990458708559</v>
      </c>
    </row>
    <row r="150" spans="1:13" ht="12.75" x14ac:dyDescent="0.2">
      <c r="A150" s="1"/>
      <c r="B150" s="1"/>
      <c r="C150" s="1"/>
      <c r="D150" s="3"/>
      <c r="E150" s="3"/>
      <c r="F150" s="3"/>
      <c r="G150" s="3"/>
      <c r="H150" s="3"/>
      <c r="I150" s="3"/>
      <c r="J150" s="3"/>
      <c r="K150" s="3"/>
      <c r="L150" s="3"/>
      <c r="M150" s="3"/>
    </row>
    <row r="151" spans="1:13" ht="12.75" x14ac:dyDescent="0.2">
      <c r="A151" s="1"/>
      <c r="B151" s="1"/>
      <c r="C151" s="1"/>
      <c r="D151" s="3"/>
      <c r="E151" s="3"/>
      <c r="F151" s="3"/>
      <c r="G151" s="3"/>
      <c r="H151" s="3"/>
      <c r="I151" s="3"/>
      <c r="J151" s="3"/>
      <c r="K151" s="3"/>
      <c r="L151" s="3"/>
      <c r="M151" s="3"/>
    </row>
    <row r="152" spans="1:13" ht="12.75" x14ac:dyDescent="0.2">
      <c r="A152" s="2" t="s">
        <v>111</v>
      </c>
      <c r="B152" s="1"/>
      <c r="C152" s="1"/>
      <c r="D152" s="3"/>
      <c r="E152" s="3"/>
      <c r="F152" s="3"/>
      <c r="G152" s="3"/>
      <c r="H152" s="3"/>
      <c r="I152" s="3"/>
      <c r="J152" s="3"/>
      <c r="K152" s="3"/>
      <c r="L152" s="3"/>
      <c r="M152" s="3"/>
    </row>
    <row r="153" spans="1:13" ht="12.75" x14ac:dyDescent="0.2">
      <c r="A153" s="1"/>
      <c r="B153" s="1"/>
      <c r="C153" s="1"/>
      <c r="D153" s="3"/>
      <c r="E153" s="3"/>
      <c r="F153" s="3"/>
      <c r="G153" s="3"/>
      <c r="H153" s="3"/>
      <c r="I153" s="3"/>
      <c r="J153" s="3"/>
      <c r="K153" s="3"/>
      <c r="L153" s="3"/>
      <c r="M153" s="3"/>
    </row>
    <row r="154" spans="1:13" ht="12.75" x14ac:dyDescent="0.2">
      <c r="A154" s="1"/>
      <c r="B154" s="1"/>
      <c r="C154" s="1"/>
      <c r="D154" s="31" t="s">
        <v>142</v>
      </c>
      <c r="E154" s="31" t="s">
        <v>117</v>
      </c>
      <c r="F154" s="31" t="s">
        <v>118</v>
      </c>
      <c r="G154" s="31" t="s">
        <v>119</v>
      </c>
      <c r="H154" s="31" t="s">
        <v>120</v>
      </c>
      <c r="I154" s="31" t="s">
        <v>121</v>
      </c>
      <c r="J154" s="31" t="s">
        <v>122</v>
      </c>
      <c r="K154" s="31" t="s">
        <v>123</v>
      </c>
      <c r="L154" s="31" t="s">
        <v>124</v>
      </c>
      <c r="M154" s="31" t="s">
        <v>125</v>
      </c>
    </row>
    <row r="155" spans="1:13" ht="12.75" x14ac:dyDescent="0.2">
      <c r="A155" s="1"/>
      <c r="B155" s="1"/>
      <c r="C155" s="1"/>
      <c r="D155" s="3"/>
      <c r="E155" s="3"/>
      <c r="F155" s="3"/>
      <c r="G155" s="3"/>
      <c r="H155" s="3"/>
      <c r="I155" s="3"/>
      <c r="J155" s="3"/>
      <c r="K155" s="3"/>
      <c r="L155" s="3"/>
      <c r="M155" s="3"/>
    </row>
    <row r="156" spans="1:13" ht="12.75" x14ac:dyDescent="0.2">
      <c r="A156" s="2" t="s">
        <v>61</v>
      </c>
      <c r="B156" s="1"/>
      <c r="C156" s="1"/>
      <c r="D156" s="16">
        <f t="shared" ref="D156:M156" si="40">D138</f>
        <v>6847.9816362962229</v>
      </c>
      <c r="E156" s="16">
        <f t="shared" si="40"/>
        <v>7288.9970362962194</v>
      </c>
      <c r="F156" s="16">
        <f t="shared" si="40"/>
        <v>7738.8327442962218</v>
      </c>
      <c r="G156" s="16">
        <f t="shared" si="40"/>
        <v>8197.665166456216</v>
      </c>
      <c r="H156" s="16">
        <f t="shared" si="40"/>
        <v>8665.6742370594184</v>
      </c>
      <c r="I156" s="16">
        <f t="shared" si="40"/>
        <v>9143.0434890746801</v>
      </c>
      <c r="J156" s="16">
        <f t="shared" si="40"/>
        <v>9629.960126130245</v>
      </c>
      <c r="K156" s="16">
        <f t="shared" si="40"/>
        <v>10126.615095926933</v>
      </c>
      <c r="L156" s="16">
        <f t="shared" si="40"/>
        <v>10633.203165119547</v>
      </c>
      <c r="M156" s="16">
        <f t="shared" si="40"/>
        <v>11149.922995696008</v>
      </c>
    </row>
    <row r="157" spans="1:13" ht="12.75" x14ac:dyDescent="0.2">
      <c r="A157" s="2" t="s">
        <v>62</v>
      </c>
      <c r="B157" s="1"/>
      <c r="C157" s="1"/>
      <c r="D157" s="16">
        <f t="shared" ref="D157:M157" si="41">D139</f>
        <v>-242.96564740380742</v>
      </c>
      <c r="E157" s="16">
        <f t="shared" si="41"/>
        <v>-379.1795448079381</v>
      </c>
      <c r="F157" s="16">
        <f t="shared" si="41"/>
        <v>-519.33897081213991</v>
      </c>
      <c r="G157" s="16">
        <f t="shared" si="41"/>
        <v>-663.58531748955079</v>
      </c>
      <c r="H157" s="16">
        <f t="shared" si="41"/>
        <v>-812.06600142696038</v>
      </c>
      <c r="I157" s="16">
        <f t="shared" si="41"/>
        <v>-964.9347477629068</v>
      </c>
      <c r="J157" s="16">
        <f t="shared" si="41"/>
        <v>-1122.3518882738917</v>
      </c>
      <c r="K157" s="16">
        <f t="shared" si="41"/>
        <v>-1284.4846742179459</v>
      </c>
      <c r="L157" s="16">
        <f t="shared" si="41"/>
        <v>-1451.5076046804927</v>
      </c>
      <c r="M157" s="16">
        <f t="shared" si="41"/>
        <v>-1623.6027712056034</v>
      </c>
    </row>
    <row r="158" spans="1:13" ht="12.75" x14ac:dyDescent="0.2">
      <c r="A158" s="2" t="s">
        <v>63</v>
      </c>
      <c r="B158" s="1"/>
      <c r="C158" s="1"/>
      <c r="D158" s="16">
        <f t="shared" ref="D158:M158" si="42">D140</f>
        <v>3481.8622155392659</v>
      </c>
      <c r="E158" s="16">
        <f t="shared" si="42"/>
        <v>3660.0008946489543</v>
      </c>
      <c r="F158" s="16">
        <f t="shared" si="42"/>
        <v>3847.2534866680508</v>
      </c>
      <c r="G158" s="16">
        <f t="shared" si="42"/>
        <v>4044.0862766781065</v>
      </c>
      <c r="H158" s="16">
        <f t="shared" si="42"/>
        <v>4250.9894057904021</v>
      </c>
      <c r="I158" s="16">
        <f t="shared" si="42"/>
        <v>4468.4780916658056</v>
      </c>
      <c r="J158" s="16">
        <f t="shared" si="42"/>
        <v>4697.0939114783541</v>
      </c>
      <c r="K158" s="16">
        <f t="shared" si="42"/>
        <v>4937.4061505182763</v>
      </c>
      <c r="L158" s="16">
        <f t="shared" si="42"/>
        <v>5190.0132197917846</v>
      </c>
      <c r="M158" s="16">
        <f t="shared" si="42"/>
        <v>5455.5441461476439</v>
      </c>
    </row>
    <row r="159" spans="1:13" ht="12.75" x14ac:dyDescent="0.2">
      <c r="A159" s="2" t="s">
        <v>64</v>
      </c>
      <c r="B159" s="1"/>
      <c r="C159" s="1"/>
      <c r="D159" s="16">
        <f t="shared" ref="D159:M159" si="43">D141</f>
        <v>0</v>
      </c>
      <c r="E159" s="16">
        <f t="shared" si="43"/>
        <v>0</v>
      </c>
      <c r="F159" s="16">
        <f t="shared" si="43"/>
        <v>0</v>
      </c>
      <c r="G159" s="16">
        <f t="shared" si="43"/>
        <v>0</v>
      </c>
      <c r="H159" s="16">
        <f t="shared" si="43"/>
        <v>0</v>
      </c>
      <c r="I159" s="16">
        <f t="shared" si="43"/>
        <v>0</v>
      </c>
      <c r="J159" s="16">
        <f t="shared" si="43"/>
        <v>0</v>
      </c>
      <c r="K159" s="16">
        <f t="shared" si="43"/>
        <v>0</v>
      </c>
      <c r="L159" s="16">
        <f t="shared" si="43"/>
        <v>0</v>
      </c>
      <c r="M159" s="16">
        <f t="shared" si="43"/>
        <v>0</v>
      </c>
    </row>
    <row r="160" spans="1:13" ht="12.75" x14ac:dyDescent="0.2">
      <c r="A160" s="2" t="s">
        <v>69</v>
      </c>
      <c r="B160" s="1"/>
      <c r="C160" s="1"/>
      <c r="D160" s="16">
        <f t="shared" ref="D160:M160" si="44">D142</f>
        <v>10086.878204431681</v>
      </c>
      <c r="E160" s="16">
        <f t="shared" si="44"/>
        <v>10569.818386137234</v>
      </c>
      <c r="F160" s="16">
        <f t="shared" si="44"/>
        <v>11066.747260152133</v>
      </c>
      <c r="G160" s="16">
        <f t="shared" si="44"/>
        <v>11578.166125644771</v>
      </c>
      <c r="H160" s="16">
        <f t="shared" si="44"/>
        <v>12104.597641422861</v>
      </c>
      <c r="I160" s="16">
        <f t="shared" si="44"/>
        <v>12646.586832977579</v>
      </c>
      <c r="J160" s="16">
        <f t="shared" si="44"/>
        <v>13204.702149334707</v>
      </c>
      <c r="K160" s="16">
        <f t="shared" si="44"/>
        <v>13779.536572227264</v>
      </c>
      <c r="L160" s="16">
        <f t="shared" si="44"/>
        <v>14371.708780230838</v>
      </c>
      <c r="M160" s="16">
        <f t="shared" si="44"/>
        <v>14981.864370638048</v>
      </c>
    </row>
    <row r="161" spans="1:13" ht="12.75" x14ac:dyDescent="0.2">
      <c r="A161" s="1"/>
      <c r="B161" s="1"/>
      <c r="C161" s="1"/>
      <c r="D161" s="3"/>
      <c r="E161" s="3"/>
      <c r="F161" s="3"/>
      <c r="G161" s="3"/>
      <c r="H161" s="3"/>
      <c r="I161" s="3"/>
      <c r="J161" s="3"/>
      <c r="K161" s="3"/>
      <c r="L161" s="3"/>
      <c r="M161" s="3"/>
    </row>
    <row r="162" spans="1:13" ht="12.75" x14ac:dyDescent="0.2">
      <c r="A162" s="2" t="s">
        <v>70</v>
      </c>
      <c r="B162" s="1"/>
      <c r="C162" s="1"/>
      <c r="D162" s="3"/>
      <c r="E162" s="3"/>
      <c r="F162" s="3"/>
      <c r="G162" s="3"/>
      <c r="H162" s="3"/>
      <c r="I162" s="3"/>
      <c r="J162" s="3"/>
      <c r="K162" s="3"/>
      <c r="L162" s="3"/>
      <c r="M162" s="3"/>
    </row>
    <row r="163" spans="1:13" ht="12.75" x14ac:dyDescent="0.2">
      <c r="A163" s="2" t="s">
        <v>152</v>
      </c>
      <c r="B163" s="1"/>
      <c r="C163" s="1"/>
      <c r="D163" s="16">
        <f>D128+$H48</f>
        <v>295000</v>
      </c>
      <c r="E163" s="16">
        <f t="shared" ref="E163:M163" si="45">E128+$H48</f>
        <v>295000</v>
      </c>
      <c r="F163" s="16">
        <f t="shared" si="45"/>
        <v>295000</v>
      </c>
      <c r="G163" s="16">
        <f t="shared" si="45"/>
        <v>295000</v>
      </c>
      <c r="H163" s="16">
        <f t="shared" si="45"/>
        <v>295000</v>
      </c>
      <c r="I163" s="16">
        <f t="shared" si="45"/>
        <v>295000</v>
      </c>
      <c r="J163" s="16">
        <f t="shared" si="45"/>
        <v>295000</v>
      </c>
      <c r="K163" s="16">
        <f t="shared" si="45"/>
        <v>295000</v>
      </c>
      <c r="L163" s="16">
        <f t="shared" si="45"/>
        <v>295000</v>
      </c>
      <c r="M163" s="16">
        <f t="shared" si="45"/>
        <v>295000</v>
      </c>
    </row>
    <row r="164" spans="1:13" ht="12.75" x14ac:dyDescent="0.2">
      <c r="A164" s="2" t="s">
        <v>71</v>
      </c>
      <c r="B164" s="1"/>
      <c r="C164" s="1"/>
      <c r="D164" s="16">
        <f t="shared" ref="D164:M164" si="46">D116</f>
        <v>236000</v>
      </c>
      <c r="E164" s="16">
        <f t="shared" si="46"/>
        <v>232518.13778446073</v>
      </c>
      <c r="F164" s="16">
        <f t="shared" si="46"/>
        <v>228858.13688981178</v>
      </c>
      <c r="G164" s="16">
        <f t="shared" si="46"/>
        <v>225010.88340314373</v>
      </c>
      <c r="H164" s="16">
        <f t="shared" si="46"/>
        <v>220966.79712646562</v>
      </c>
      <c r="I164" s="16">
        <f t="shared" si="46"/>
        <v>216715.80772067522</v>
      </c>
      <c r="J164" s="16">
        <f t="shared" si="46"/>
        <v>212247.32962900941</v>
      </c>
      <c r="K164" s="16">
        <f t="shared" si="46"/>
        <v>207550.23571753106</v>
      </c>
      <c r="L164" s="16">
        <f t="shared" si="46"/>
        <v>202612.82956701278</v>
      </c>
      <c r="M164" s="16">
        <f t="shared" si="46"/>
        <v>197422.816347221</v>
      </c>
    </row>
    <row r="165" spans="1:13" ht="12.75" x14ac:dyDescent="0.2">
      <c r="A165" s="2" t="s">
        <v>72</v>
      </c>
      <c r="B165" s="1"/>
      <c r="C165" s="1"/>
      <c r="D165" s="16">
        <f t="shared" ref="D165:M165" si="47">D163-D164</f>
        <v>59000</v>
      </c>
      <c r="E165" s="16">
        <f t="shared" si="47"/>
        <v>62481.862215539266</v>
      </c>
      <c r="F165" s="16">
        <f t="shared" si="47"/>
        <v>66141.86311018822</v>
      </c>
      <c r="G165" s="16">
        <f t="shared" si="47"/>
        <v>69989.116596856271</v>
      </c>
      <c r="H165" s="16">
        <f t="shared" si="47"/>
        <v>74033.202873534377</v>
      </c>
      <c r="I165" s="16">
        <f t="shared" si="47"/>
        <v>78284.19227932478</v>
      </c>
      <c r="J165" s="16">
        <f t="shared" si="47"/>
        <v>82752.670370990585</v>
      </c>
      <c r="K165" s="16">
        <f t="shared" si="47"/>
        <v>87449.764282468939</v>
      </c>
      <c r="L165" s="16">
        <f t="shared" si="47"/>
        <v>92387.170432987215</v>
      </c>
      <c r="M165" s="16">
        <f t="shared" si="47"/>
        <v>97577.183652779</v>
      </c>
    </row>
    <row r="166" spans="1:13" ht="12.75" x14ac:dyDescent="0.2">
      <c r="A166" s="1"/>
      <c r="B166" s="1"/>
      <c r="C166" s="1"/>
      <c r="D166" s="3"/>
      <c r="E166" s="3"/>
      <c r="F166" s="3"/>
      <c r="G166" s="3"/>
      <c r="H166" s="3"/>
      <c r="I166" s="3"/>
      <c r="J166" s="3"/>
      <c r="K166" s="3"/>
      <c r="L166" s="3"/>
      <c r="M166" s="3"/>
    </row>
    <row r="167" spans="1:13" ht="12.75" x14ac:dyDescent="0.2">
      <c r="A167" s="2" t="s">
        <v>73</v>
      </c>
      <c r="B167" s="1"/>
      <c r="C167" s="1"/>
      <c r="D167" s="14">
        <f t="shared" ref="D167:M167" si="48">D160/D165</f>
        <v>0.17096403736324883</v>
      </c>
      <c r="E167" s="14">
        <f t="shared" si="48"/>
        <v>0.16916618697559427</v>
      </c>
      <c r="F167" s="14">
        <f t="shared" si="48"/>
        <v>0.16731834786261798</v>
      </c>
      <c r="G167" s="14">
        <f t="shared" si="48"/>
        <v>0.16542809351825472</v>
      </c>
      <c r="H167" s="14">
        <f t="shared" si="48"/>
        <v>0.16350228237592637</v>
      </c>
      <c r="I167" s="14">
        <f t="shared" si="48"/>
        <v>0.16154713314092151</v>
      </c>
      <c r="J167" s="14">
        <f t="shared" si="48"/>
        <v>0.15956829054743943</v>
      </c>
      <c r="K167" s="14">
        <f t="shared" si="48"/>
        <v>0.15757088295536606</v>
      </c>
      <c r="L167" s="14">
        <f t="shared" si="48"/>
        <v>0.15555957296749681</v>
      </c>
      <c r="M167" s="14">
        <f t="shared" si="48"/>
        <v>0.15353860205629499</v>
      </c>
    </row>
    <row r="168" spans="1:13" ht="12.75" x14ac:dyDescent="0.2">
      <c r="A168" s="1"/>
      <c r="B168" s="1"/>
      <c r="C168" s="1"/>
      <c r="D168" s="3"/>
      <c r="E168" s="3"/>
      <c r="F168" s="3"/>
      <c r="G168" s="3"/>
      <c r="H168" s="3"/>
      <c r="I168" s="3"/>
      <c r="J168" s="3"/>
      <c r="K168" s="3"/>
      <c r="L168" s="3"/>
      <c r="M168" s="3"/>
    </row>
    <row r="169" spans="1:13" ht="12.75" x14ac:dyDescent="0.2">
      <c r="A169" s="1"/>
      <c r="B169" s="1"/>
      <c r="C169" s="1"/>
      <c r="D169" s="3"/>
      <c r="E169" s="2" t="s">
        <v>107</v>
      </c>
      <c r="F169" s="3"/>
      <c r="G169" s="3"/>
      <c r="H169" s="3"/>
      <c r="I169" s="3"/>
      <c r="J169" s="3"/>
      <c r="K169" s="3"/>
      <c r="L169" s="3"/>
      <c r="M169" s="3"/>
    </row>
    <row r="170" spans="1:13" ht="12.75" x14ac:dyDescent="0.2">
      <c r="A170" s="1"/>
      <c r="B170" s="1"/>
      <c r="C170" s="1"/>
      <c r="D170" s="3"/>
      <c r="E170" s="3"/>
      <c r="F170" s="3"/>
      <c r="G170" s="3"/>
      <c r="H170" s="3"/>
      <c r="I170" s="3"/>
      <c r="J170" s="3"/>
      <c r="K170" s="3"/>
      <c r="L170" s="3"/>
      <c r="M170" s="3"/>
    </row>
    <row r="171" spans="1:13" ht="12.75" x14ac:dyDescent="0.2">
      <c r="A171" s="1"/>
      <c r="B171" s="1"/>
      <c r="C171" s="1"/>
      <c r="D171" s="31" t="s">
        <v>142</v>
      </c>
      <c r="E171" s="31" t="s">
        <v>117</v>
      </c>
      <c r="F171" s="31" t="s">
        <v>118</v>
      </c>
      <c r="G171" s="31" t="s">
        <v>119</v>
      </c>
      <c r="H171" s="31" t="s">
        <v>120</v>
      </c>
      <c r="I171" s="31" t="s">
        <v>121</v>
      </c>
      <c r="J171" s="31" t="s">
        <v>122</v>
      </c>
      <c r="K171" s="31" t="s">
        <v>123</v>
      </c>
      <c r="L171" s="31" t="s">
        <v>124</v>
      </c>
      <c r="M171" s="31" t="s">
        <v>125</v>
      </c>
    </row>
    <row r="172" spans="1:13" ht="12.75" x14ac:dyDescent="0.2">
      <c r="A172" s="2" t="s">
        <v>74</v>
      </c>
      <c r="B172" s="1"/>
      <c r="C172" s="1"/>
      <c r="D172" s="3"/>
      <c r="E172" s="3"/>
      <c r="F172" s="3"/>
      <c r="G172" s="3"/>
      <c r="H172" s="3"/>
      <c r="I172" s="3"/>
      <c r="J172" s="3"/>
      <c r="K172" s="3"/>
      <c r="L172" s="3"/>
      <c r="M172" s="3"/>
    </row>
    <row r="173" spans="1:13" ht="12.75" x14ac:dyDescent="0.2">
      <c r="A173" s="2" t="s">
        <v>75</v>
      </c>
      <c r="B173" s="1"/>
      <c r="C173" s="1"/>
      <c r="D173" s="16">
        <f>B57+B60</f>
        <v>297950</v>
      </c>
      <c r="E173" s="16">
        <f t="shared" ref="E173:M173" si="49">D173</f>
        <v>297950</v>
      </c>
      <c r="F173" s="16">
        <f t="shared" si="49"/>
        <v>297950</v>
      </c>
      <c r="G173" s="16">
        <f t="shared" si="49"/>
        <v>297950</v>
      </c>
      <c r="H173" s="16">
        <f t="shared" si="49"/>
        <v>297950</v>
      </c>
      <c r="I173" s="16">
        <f t="shared" si="49"/>
        <v>297950</v>
      </c>
      <c r="J173" s="16">
        <f t="shared" si="49"/>
        <v>297950</v>
      </c>
      <c r="K173" s="16">
        <f t="shared" si="49"/>
        <v>297950</v>
      </c>
      <c r="L173" s="16">
        <f t="shared" si="49"/>
        <v>297950</v>
      </c>
      <c r="M173" s="16">
        <f t="shared" si="49"/>
        <v>297950</v>
      </c>
    </row>
    <row r="174" spans="1:13" ht="12.75" x14ac:dyDescent="0.2">
      <c r="A174" s="2" t="s">
        <v>76</v>
      </c>
      <c r="B174" s="1"/>
      <c r="C174" s="1"/>
      <c r="D174" s="16">
        <f>H48</f>
        <v>0</v>
      </c>
      <c r="E174" s="16">
        <f>H48</f>
        <v>0</v>
      </c>
      <c r="F174" s="16">
        <f>H48</f>
        <v>0</v>
      </c>
      <c r="G174" s="16">
        <f>H48</f>
        <v>0</v>
      </c>
      <c r="H174" s="16">
        <f>H48</f>
        <v>0</v>
      </c>
      <c r="I174" s="16">
        <f>H48</f>
        <v>0</v>
      </c>
      <c r="J174" s="16">
        <f>H48</f>
        <v>0</v>
      </c>
      <c r="K174" s="16">
        <f>H48</f>
        <v>0</v>
      </c>
      <c r="L174" s="16">
        <f>H48</f>
        <v>0</v>
      </c>
      <c r="M174" s="16">
        <f>H48</f>
        <v>0</v>
      </c>
    </row>
    <row r="175" spans="1:13" ht="12.75" x14ac:dyDescent="0.2">
      <c r="A175" s="2" t="s">
        <v>77</v>
      </c>
      <c r="B175" s="1"/>
      <c r="C175" s="1"/>
      <c r="D175" s="16">
        <f>C176*D129</f>
        <v>17700</v>
      </c>
      <c r="E175" s="16">
        <f>C176*E129</f>
        <v>17700</v>
      </c>
      <c r="F175" s="16">
        <f>C176*F129</f>
        <v>17700</v>
      </c>
      <c r="G175" s="16">
        <f>C176*G129</f>
        <v>17700</v>
      </c>
      <c r="H175" s="16">
        <f>C176*H129</f>
        <v>17700</v>
      </c>
      <c r="I175" s="16">
        <f>C176*I129</f>
        <v>17700</v>
      </c>
      <c r="J175" s="16">
        <f>C176*J129</f>
        <v>17700</v>
      </c>
      <c r="K175" s="16">
        <f>C176*K129</f>
        <v>17700</v>
      </c>
      <c r="L175" s="16">
        <f>C176*L129</f>
        <v>17700</v>
      </c>
      <c r="M175" s="16">
        <f>C176*M129</f>
        <v>17700</v>
      </c>
    </row>
    <row r="176" spans="1:13" ht="12.75" x14ac:dyDescent="0.2">
      <c r="A176" s="2" t="s">
        <v>78</v>
      </c>
      <c r="B176" s="1"/>
      <c r="C176" s="18">
        <f>H50/100</f>
        <v>0.06</v>
      </c>
      <c r="D176" s="16">
        <f>D107</f>
        <v>9225.454545454546</v>
      </c>
      <c r="E176" s="16">
        <f t="shared" ref="E176:M176" si="50">D176+E107</f>
        <v>18450.909090909092</v>
      </c>
      <c r="F176" s="16">
        <f t="shared" si="50"/>
        <v>27676.36363636364</v>
      </c>
      <c r="G176" s="16">
        <f t="shared" si="50"/>
        <v>36901.818181818184</v>
      </c>
      <c r="H176" s="16">
        <f t="shared" si="50"/>
        <v>46127.272727272728</v>
      </c>
      <c r="I176" s="16">
        <f t="shared" si="50"/>
        <v>55352.727272727272</v>
      </c>
      <c r="J176" s="16">
        <f t="shared" si="50"/>
        <v>64578.181818181816</v>
      </c>
      <c r="K176" s="16">
        <f t="shared" si="50"/>
        <v>73803.636363636368</v>
      </c>
      <c r="L176" s="16">
        <f t="shared" si="50"/>
        <v>83029.090909090912</v>
      </c>
      <c r="M176" s="16">
        <f t="shared" si="50"/>
        <v>92254.545454545456</v>
      </c>
    </row>
    <row r="177" spans="1:13" ht="12.75" x14ac:dyDescent="0.2">
      <c r="A177" s="2" t="s">
        <v>79</v>
      </c>
      <c r="B177" s="1"/>
      <c r="C177" s="1"/>
      <c r="D177" s="16">
        <f t="shared" ref="D177:M177" si="51">D173+D174+D175-D176</f>
        <v>306424.54545454547</v>
      </c>
      <c r="E177" s="16">
        <f t="shared" si="51"/>
        <v>297199.09090909088</v>
      </c>
      <c r="F177" s="16">
        <f t="shared" si="51"/>
        <v>287973.63636363635</v>
      </c>
      <c r="G177" s="16">
        <f t="shared" si="51"/>
        <v>278748.18181818182</v>
      </c>
      <c r="H177" s="16">
        <f t="shared" si="51"/>
        <v>269522.72727272729</v>
      </c>
      <c r="I177" s="16">
        <f t="shared" si="51"/>
        <v>260297.27272727274</v>
      </c>
      <c r="J177" s="16">
        <f t="shared" si="51"/>
        <v>251071.81818181818</v>
      </c>
      <c r="K177" s="16">
        <f t="shared" si="51"/>
        <v>241846.36363636365</v>
      </c>
      <c r="L177" s="16">
        <f t="shared" si="51"/>
        <v>232620.90909090909</v>
      </c>
      <c r="M177" s="16">
        <f t="shared" si="51"/>
        <v>223395.45454545453</v>
      </c>
    </row>
    <row r="178" spans="1:13" ht="12.75" x14ac:dyDescent="0.2">
      <c r="A178" s="1"/>
      <c r="B178" s="1"/>
      <c r="C178" s="1"/>
      <c r="D178" s="3"/>
      <c r="E178" s="3"/>
      <c r="F178" s="3"/>
      <c r="G178" s="3"/>
      <c r="H178" s="3"/>
      <c r="I178" s="3"/>
      <c r="J178" s="3"/>
      <c r="K178" s="3"/>
      <c r="L178" s="3"/>
      <c r="M178" s="3"/>
    </row>
    <row r="179" spans="1:13" ht="12.75" x14ac:dyDescent="0.2">
      <c r="A179" s="1" t="s">
        <v>171</v>
      </c>
      <c r="B179" s="1"/>
      <c r="C179" s="1"/>
      <c r="D179" s="3"/>
      <c r="E179" s="3"/>
      <c r="F179" s="3"/>
      <c r="G179" s="3"/>
      <c r="H179" s="3"/>
      <c r="I179" s="3"/>
      <c r="J179" s="3"/>
      <c r="K179" s="3"/>
      <c r="L179" s="3"/>
      <c r="M179" s="3"/>
    </row>
    <row r="180" spans="1:13" ht="12.75" x14ac:dyDescent="0.2">
      <c r="A180" s="1" t="s">
        <v>80</v>
      </c>
      <c r="B180" s="1"/>
      <c r="C180" s="1"/>
      <c r="D180" s="16">
        <f>D129</f>
        <v>295000</v>
      </c>
      <c r="E180" s="16">
        <f t="shared" ref="E180:M180" si="52">E129</f>
        <v>295000</v>
      </c>
      <c r="F180" s="16">
        <f t="shared" si="52"/>
        <v>295000</v>
      </c>
      <c r="G180" s="16">
        <f t="shared" si="52"/>
        <v>295000</v>
      </c>
      <c r="H180" s="16">
        <f t="shared" si="52"/>
        <v>295000</v>
      </c>
      <c r="I180" s="16">
        <f t="shared" si="52"/>
        <v>295000</v>
      </c>
      <c r="J180" s="16">
        <f t="shared" si="52"/>
        <v>295000</v>
      </c>
      <c r="K180" s="16">
        <f t="shared" si="52"/>
        <v>295000</v>
      </c>
      <c r="L180" s="16">
        <f t="shared" si="52"/>
        <v>295000</v>
      </c>
      <c r="M180" s="16">
        <f t="shared" si="52"/>
        <v>295000</v>
      </c>
    </row>
    <row r="181" spans="1:13" ht="12.75" x14ac:dyDescent="0.2">
      <c r="A181" s="1" t="s">
        <v>172</v>
      </c>
      <c r="B181" s="1"/>
      <c r="C181" s="1"/>
      <c r="D181" s="16">
        <f>D173+D174+D175</f>
        <v>315650</v>
      </c>
      <c r="E181" s="16">
        <f t="shared" ref="E181:M181" si="53">E173+E174+E175</f>
        <v>315650</v>
      </c>
      <c r="F181" s="16">
        <f t="shared" si="53"/>
        <v>315650</v>
      </c>
      <c r="G181" s="16">
        <f t="shared" si="53"/>
        <v>315650</v>
      </c>
      <c r="H181" s="16">
        <f t="shared" si="53"/>
        <v>315650</v>
      </c>
      <c r="I181" s="16">
        <f t="shared" si="53"/>
        <v>315650</v>
      </c>
      <c r="J181" s="16">
        <f t="shared" si="53"/>
        <v>315650</v>
      </c>
      <c r="K181" s="16">
        <f t="shared" si="53"/>
        <v>315650</v>
      </c>
      <c r="L181" s="16">
        <f t="shared" si="53"/>
        <v>315650</v>
      </c>
      <c r="M181" s="16">
        <f t="shared" si="53"/>
        <v>315650</v>
      </c>
    </row>
    <row r="182" spans="1:13" ht="12.75" x14ac:dyDescent="0.2">
      <c r="A182" s="1" t="s">
        <v>173</v>
      </c>
      <c r="B182" s="1"/>
      <c r="C182" s="1"/>
      <c r="D182" s="16">
        <f>D180-D181</f>
        <v>-20650</v>
      </c>
      <c r="E182" s="16">
        <f t="shared" ref="E182:M182" si="54">E180-E181</f>
        <v>-20650</v>
      </c>
      <c r="F182" s="16">
        <f t="shared" si="54"/>
        <v>-20650</v>
      </c>
      <c r="G182" s="16">
        <f t="shared" si="54"/>
        <v>-20650</v>
      </c>
      <c r="H182" s="16">
        <f t="shared" si="54"/>
        <v>-20650</v>
      </c>
      <c r="I182" s="16">
        <f t="shared" si="54"/>
        <v>-20650</v>
      </c>
      <c r="J182" s="16">
        <f t="shared" si="54"/>
        <v>-20650</v>
      </c>
      <c r="K182" s="16">
        <f t="shared" si="54"/>
        <v>-20650</v>
      </c>
      <c r="L182" s="16">
        <f t="shared" si="54"/>
        <v>-20650</v>
      </c>
      <c r="M182" s="16">
        <f t="shared" si="54"/>
        <v>-20650</v>
      </c>
    </row>
    <row r="183" spans="1:13" ht="12.75" x14ac:dyDescent="0.2">
      <c r="A183" s="1"/>
      <c r="B183" s="1"/>
      <c r="C183" s="1"/>
      <c r="D183" s="3"/>
      <c r="E183" s="3"/>
      <c r="F183" s="3"/>
      <c r="G183" s="3"/>
      <c r="H183" s="3"/>
      <c r="I183" s="3"/>
      <c r="J183" s="3"/>
      <c r="K183" s="3"/>
      <c r="L183" s="3"/>
      <c r="M183" s="3"/>
    </row>
    <row r="184" spans="1:13" ht="12.75" x14ac:dyDescent="0.2">
      <c r="A184" s="2" t="s">
        <v>170</v>
      </c>
      <c r="B184" s="1"/>
      <c r="C184" s="1"/>
      <c r="D184" s="3"/>
      <c r="E184" s="3"/>
      <c r="F184" s="3"/>
      <c r="G184" s="3"/>
      <c r="H184" s="3"/>
      <c r="I184" s="3"/>
      <c r="J184" s="3"/>
      <c r="K184" s="3"/>
      <c r="L184" s="3"/>
      <c r="M184" s="3"/>
    </row>
    <row r="185" spans="1:13" ht="12.75" x14ac:dyDescent="0.2">
      <c r="A185" s="2" t="s">
        <v>80</v>
      </c>
      <c r="B185" s="1"/>
      <c r="C185" s="1"/>
      <c r="D185" s="16">
        <f t="shared" ref="D185:M185" si="55">D129</f>
        <v>295000</v>
      </c>
      <c r="E185" s="16">
        <f t="shared" si="55"/>
        <v>295000</v>
      </c>
      <c r="F185" s="16">
        <f t="shared" si="55"/>
        <v>295000</v>
      </c>
      <c r="G185" s="16">
        <f t="shared" si="55"/>
        <v>295000</v>
      </c>
      <c r="H185" s="16">
        <f t="shared" si="55"/>
        <v>295000</v>
      </c>
      <c r="I185" s="16">
        <f t="shared" si="55"/>
        <v>295000</v>
      </c>
      <c r="J185" s="16">
        <f t="shared" si="55"/>
        <v>295000</v>
      </c>
      <c r="K185" s="16">
        <f t="shared" si="55"/>
        <v>295000</v>
      </c>
      <c r="L185" s="16">
        <f t="shared" si="55"/>
        <v>295000</v>
      </c>
      <c r="M185" s="16">
        <f t="shared" si="55"/>
        <v>295000</v>
      </c>
    </row>
    <row r="186" spans="1:13" ht="12.75" x14ac:dyDescent="0.2">
      <c r="A186" s="2" t="s">
        <v>81</v>
      </c>
      <c r="B186" s="1"/>
      <c r="C186" s="1"/>
      <c r="D186" s="16">
        <f t="shared" ref="D186:M186" si="56">D177</f>
        <v>306424.54545454547</v>
      </c>
      <c r="E186" s="16">
        <f t="shared" si="56"/>
        <v>297199.09090909088</v>
      </c>
      <c r="F186" s="16">
        <f t="shared" si="56"/>
        <v>287973.63636363635</v>
      </c>
      <c r="G186" s="16">
        <f t="shared" si="56"/>
        <v>278748.18181818182</v>
      </c>
      <c r="H186" s="16">
        <f t="shared" si="56"/>
        <v>269522.72727272729</v>
      </c>
      <c r="I186" s="16">
        <f t="shared" si="56"/>
        <v>260297.27272727274</v>
      </c>
      <c r="J186" s="16">
        <f t="shared" si="56"/>
        <v>251071.81818181818</v>
      </c>
      <c r="K186" s="16">
        <f t="shared" si="56"/>
        <v>241846.36363636365</v>
      </c>
      <c r="L186" s="16">
        <f t="shared" si="56"/>
        <v>232620.90909090909</v>
      </c>
      <c r="M186" s="16">
        <f t="shared" si="56"/>
        <v>223395.45454545453</v>
      </c>
    </row>
    <row r="187" spans="1:13" ht="12.75" x14ac:dyDescent="0.2">
      <c r="A187" s="2" t="s">
        <v>176</v>
      </c>
      <c r="B187" s="1"/>
      <c r="C187" s="1"/>
      <c r="D187" s="16">
        <f t="shared" ref="D187:M187" si="57">D185-D186</f>
        <v>-11424.54545454547</v>
      </c>
      <c r="E187" s="16">
        <f t="shared" si="57"/>
        <v>-2199.0909090908826</v>
      </c>
      <c r="F187" s="16">
        <f t="shared" si="57"/>
        <v>7026.3636363636469</v>
      </c>
      <c r="G187" s="16">
        <f t="shared" si="57"/>
        <v>16251.818181818177</v>
      </c>
      <c r="H187" s="16">
        <f t="shared" si="57"/>
        <v>25477.272727272706</v>
      </c>
      <c r="I187" s="16">
        <f t="shared" si="57"/>
        <v>34702.727272727265</v>
      </c>
      <c r="J187" s="16">
        <f t="shared" si="57"/>
        <v>43928.181818181823</v>
      </c>
      <c r="K187" s="16">
        <f t="shared" si="57"/>
        <v>53153.636363636353</v>
      </c>
      <c r="L187" s="16">
        <f t="shared" si="57"/>
        <v>62379.090909090912</v>
      </c>
      <c r="M187" s="16">
        <f t="shared" si="57"/>
        <v>71604.54545454547</v>
      </c>
    </row>
    <row r="188" spans="1:13" ht="12.75" x14ac:dyDescent="0.2">
      <c r="A188" s="1"/>
      <c r="B188" s="1"/>
      <c r="C188" s="1"/>
      <c r="D188" s="3"/>
      <c r="E188" s="3"/>
      <c r="F188" s="3"/>
      <c r="G188" s="3"/>
      <c r="H188" s="3"/>
      <c r="I188" s="3"/>
      <c r="J188" s="3"/>
      <c r="K188" s="3"/>
      <c r="L188" s="3"/>
      <c r="M188" s="3"/>
    </row>
    <row r="189" spans="1:13" ht="12.75" x14ac:dyDescent="0.2">
      <c r="A189" s="2" t="s">
        <v>82</v>
      </c>
      <c r="B189" s="1"/>
      <c r="C189" s="1"/>
      <c r="D189" s="3"/>
      <c r="E189" s="3"/>
      <c r="F189" s="3"/>
      <c r="G189" s="3"/>
      <c r="H189" s="3"/>
      <c r="I189" s="3"/>
      <c r="J189" s="3"/>
      <c r="K189" s="3"/>
      <c r="L189" s="3"/>
      <c r="M189" s="3"/>
    </row>
    <row r="190" spans="1:13" ht="12.75" x14ac:dyDescent="0.2">
      <c r="A190" s="2" t="s">
        <v>175</v>
      </c>
      <c r="B190" s="1"/>
      <c r="C190" s="1"/>
      <c r="D190" s="16">
        <f t="shared" ref="D190:M190" si="58">D187</f>
        <v>-11424.54545454547</v>
      </c>
      <c r="E190" s="16">
        <f t="shared" si="58"/>
        <v>-2199.0909090908826</v>
      </c>
      <c r="F190" s="16">
        <f t="shared" si="58"/>
        <v>7026.3636363636469</v>
      </c>
      <c r="G190" s="16">
        <f t="shared" si="58"/>
        <v>16251.818181818177</v>
      </c>
      <c r="H190" s="16">
        <f t="shared" si="58"/>
        <v>25477.272727272706</v>
      </c>
      <c r="I190" s="16">
        <f t="shared" si="58"/>
        <v>34702.727272727265</v>
      </c>
      <c r="J190" s="16">
        <f t="shared" si="58"/>
        <v>43928.181818181823</v>
      </c>
      <c r="K190" s="16">
        <f t="shared" si="58"/>
        <v>53153.636363636353</v>
      </c>
      <c r="L190" s="16">
        <f t="shared" si="58"/>
        <v>62379.090909090912</v>
      </c>
      <c r="M190" s="16">
        <f t="shared" si="58"/>
        <v>71604.54545454547</v>
      </c>
    </row>
    <row r="191" spans="1:13" ht="12.75" x14ac:dyDescent="0.2">
      <c r="A191" s="2" t="s">
        <v>83</v>
      </c>
      <c r="B191" s="1"/>
      <c r="C191" s="1"/>
      <c r="D191" s="16"/>
      <c r="E191" s="16">
        <f>((E176*$H$47)+(E182*$H$46))/100</f>
        <v>482.72727272727292</v>
      </c>
      <c r="F191" s="16">
        <f t="shared" ref="F191:M191" si="59">((F176*$H$47)+(F182*$H$46))/100</f>
        <v>2789.0909090909095</v>
      </c>
      <c r="G191" s="16">
        <f t="shared" si="59"/>
        <v>5095.454545454546</v>
      </c>
      <c r="H191" s="16">
        <f t="shared" si="59"/>
        <v>7401.8181818181811</v>
      </c>
      <c r="I191" s="16">
        <f t="shared" si="59"/>
        <v>9708.181818181818</v>
      </c>
      <c r="J191" s="16">
        <f t="shared" si="59"/>
        <v>12014.545454545454</v>
      </c>
      <c r="K191" s="16">
        <f t="shared" si="59"/>
        <v>14320.909090909092</v>
      </c>
      <c r="L191" s="16">
        <f t="shared" si="59"/>
        <v>16627.272727272728</v>
      </c>
      <c r="M191" s="16">
        <f t="shared" si="59"/>
        <v>18933.636363636364</v>
      </c>
    </row>
    <row r="192" spans="1:13" ht="12.75" x14ac:dyDescent="0.2">
      <c r="A192" s="1"/>
      <c r="B192" s="1"/>
      <c r="C192" s="1"/>
      <c r="D192" s="3"/>
      <c r="E192" s="32"/>
      <c r="F192" s="3"/>
      <c r="G192" s="3"/>
      <c r="H192" s="3"/>
      <c r="I192" s="3"/>
      <c r="J192" s="3"/>
      <c r="K192" s="3"/>
      <c r="L192" s="3"/>
      <c r="M192" s="3"/>
    </row>
    <row r="193" spans="1:13" ht="12.75" x14ac:dyDescent="0.2">
      <c r="A193" s="2" t="s">
        <v>143</v>
      </c>
      <c r="B193" s="1"/>
      <c r="C193" s="1"/>
      <c r="D193" s="3"/>
      <c r="E193" s="3"/>
      <c r="F193" s="3"/>
      <c r="G193" s="3"/>
      <c r="H193" s="3"/>
      <c r="I193" s="3"/>
      <c r="J193" s="3"/>
      <c r="K193" s="3"/>
      <c r="L193" s="3"/>
      <c r="M193" s="3"/>
    </row>
    <row r="194" spans="1:13" ht="12.75" x14ac:dyDescent="0.2">
      <c r="A194" s="2" t="s">
        <v>80</v>
      </c>
      <c r="B194" s="1"/>
      <c r="C194" s="1"/>
      <c r="D194" s="16">
        <f t="shared" ref="D194:M194" si="60">D185</f>
        <v>295000</v>
      </c>
      <c r="E194" s="16">
        <f t="shared" si="60"/>
        <v>295000</v>
      </c>
      <c r="F194" s="16">
        <f t="shared" si="60"/>
        <v>295000</v>
      </c>
      <c r="G194" s="16">
        <f t="shared" si="60"/>
        <v>295000</v>
      </c>
      <c r="H194" s="16">
        <f t="shared" si="60"/>
        <v>295000</v>
      </c>
      <c r="I194" s="16">
        <f t="shared" si="60"/>
        <v>295000</v>
      </c>
      <c r="J194" s="16">
        <f t="shared" si="60"/>
        <v>295000</v>
      </c>
      <c r="K194" s="16">
        <f t="shared" si="60"/>
        <v>295000</v>
      </c>
      <c r="L194" s="16">
        <f t="shared" si="60"/>
        <v>295000</v>
      </c>
      <c r="M194" s="16">
        <f t="shared" si="60"/>
        <v>295000</v>
      </c>
    </row>
    <row r="195" spans="1:13" ht="12.75" x14ac:dyDescent="0.2">
      <c r="A195" s="2" t="s">
        <v>84</v>
      </c>
      <c r="B195" s="1"/>
      <c r="C195" s="1"/>
      <c r="D195" s="16">
        <f t="shared" ref="D195:M195" si="61">D175</f>
        <v>17700</v>
      </c>
      <c r="E195" s="16">
        <f t="shared" si="61"/>
        <v>17700</v>
      </c>
      <c r="F195" s="16">
        <f t="shared" si="61"/>
        <v>17700</v>
      </c>
      <c r="G195" s="16">
        <f t="shared" si="61"/>
        <v>17700</v>
      </c>
      <c r="H195" s="16">
        <f t="shared" si="61"/>
        <v>17700</v>
      </c>
      <c r="I195" s="16">
        <f t="shared" si="61"/>
        <v>17700</v>
      </c>
      <c r="J195" s="16">
        <f t="shared" si="61"/>
        <v>17700</v>
      </c>
      <c r="K195" s="16">
        <f t="shared" si="61"/>
        <v>17700</v>
      </c>
      <c r="L195" s="16">
        <f t="shared" si="61"/>
        <v>17700</v>
      </c>
      <c r="M195" s="16">
        <f t="shared" si="61"/>
        <v>17700</v>
      </c>
    </row>
    <row r="196" spans="1:13" ht="12.75" x14ac:dyDescent="0.2">
      <c r="A196" s="2" t="s">
        <v>85</v>
      </c>
      <c r="B196" s="1"/>
      <c r="C196" s="1"/>
      <c r="D196" s="16">
        <f t="shared" ref="D196:M196" si="62">D120</f>
        <v>232518.13778446073</v>
      </c>
      <c r="E196" s="16">
        <f t="shared" si="62"/>
        <v>228858.13688981178</v>
      </c>
      <c r="F196" s="16">
        <f t="shared" si="62"/>
        <v>225010.88340314373</v>
      </c>
      <c r="G196" s="16">
        <f t="shared" si="62"/>
        <v>220966.79712646562</v>
      </c>
      <c r="H196" s="16">
        <f t="shared" si="62"/>
        <v>216715.80772067522</v>
      </c>
      <c r="I196" s="16">
        <f t="shared" si="62"/>
        <v>212247.32962900941</v>
      </c>
      <c r="J196" s="16">
        <f t="shared" si="62"/>
        <v>207550.23571753106</v>
      </c>
      <c r="K196" s="16">
        <f t="shared" si="62"/>
        <v>202612.82956701278</v>
      </c>
      <c r="L196" s="16">
        <f t="shared" si="62"/>
        <v>197422.816347221</v>
      </c>
      <c r="M196" s="16">
        <f t="shared" si="62"/>
        <v>191967.27220107336</v>
      </c>
    </row>
    <row r="197" spans="1:13" ht="12.75" x14ac:dyDescent="0.2">
      <c r="A197" s="2" t="s">
        <v>86</v>
      </c>
      <c r="B197" s="1"/>
      <c r="C197" s="1"/>
      <c r="D197" s="16">
        <f t="shared" ref="D197:M197" si="63">D194-D195-D196</f>
        <v>44781.862215539266</v>
      </c>
      <c r="E197" s="16">
        <f t="shared" si="63"/>
        <v>48441.86311018822</v>
      </c>
      <c r="F197" s="16">
        <f t="shared" si="63"/>
        <v>52289.116596856271</v>
      </c>
      <c r="G197" s="16">
        <f t="shared" si="63"/>
        <v>56333.202873534377</v>
      </c>
      <c r="H197" s="16">
        <f t="shared" si="63"/>
        <v>60584.19227932478</v>
      </c>
      <c r="I197" s="16">
        <f t="shared" si="63"/>
        <v>65052.670370990585</v>
      </c>
      <c r="J197" s="16">
        <f t="shared" si="63"/>
        <v>69749.764282468939</v>
      </c>
      <c r="K197" s="16">
        <f t="shared" si="63"/>
        <v>74687.170432987215</v>
      </c>
      <c r="L197" s="16">
        <f t="shared" si="63"/>
        <v>79877.183652779</v>
      </c>
      <c r="M197" s="16">
        <f t="shared" si="63"/>
        <v>85332.727798926644</v>
      </c>
    </row>
    <row r="198" spans="1:13" ht="12.75" x14ac:dyDescent="0.2">
      <c r="A198" s="2" t="s">
        <v>87</v>
      </c>
      <c r="B198" s="1"/>
      <c r="C198" s="1"/>
      <c r="D198" s="16">
        <f t="shared" ref="D198:M198" si="64">D191</f>
        <v>0</v>
      </c>
      <c r="E198" s="16">
        <f t="shared" si="64"/>
        <v>482.72727272727292</v>
      </c>
      <c r="F198" s="16">
        <f t="shared" si="64"/>
        <v>2789.0909090909095</v>
      </c>
      <c r="G198" s="16">
        <f t="shared" si="64"/>
        <v>5095.454545454546</v>
      </c>
      <c r="H198" s="16">
        <f t="shared" si="64"/>
        <v>7401.8181818181811</v>
      </c>
      <c r="I198" s="16">
        <f t="shared" si="64"/>
        <v>9708.181818181818</v>
      </c>
      <c r="J198" s="16">
        <f t="shared" si="64"/>
        <v>12014.545454545454</v>
      </c>
      <c r="K198" s="16">
        <f t="shared" si="64"/>
        <v>14320.909090909092</v>
      </c>
      <c r="L198" s="16">
        <f t="shared" si="64"/>
        <v>16627.272727272728</v>
      </c>
      <c r="M198" s="16">
        <f t="shared" si="64"/>
        <v>18933.636363636364</v>
      </c>
    </row>
    <row r="199" spans="1:13" ht="12.75" x14ac:dyDescent="0.2">
      <c r="A199" s="2" t="s">
        <v>88</v>
      </c>
      <c r="B199" s="1"/>
      <c r="C199" s="1"/>
      <c r="D199" s="16">
        <f t="shared" ref="D199:M199" si="65">D197-D198</f>
        <v>44781.862215539266</v>
      </c>
      <c r="E199" s="16">
        <f t="shared" si="65"/>
        <v>47959.135837460948</v>
      </c>
      <c r="F199" s="16">
        <f t="shared" si="65"/>
        <v>49500.025687765359</v>
      </c>
      <c r="G199" s="16">
        <f t="shared" si="65"/>
        <v>51237.748328079833</v>
      </c>
      <c r="H199" s="16">
        <f t="shared" si="65"/>
        <v>53182.374097506596</v>
      </c>
      <c r="I199" s="16">
        <f t="shared" si="65"/>
        <v>55344.488552808769</v>
      </c>
      <c r="J199" s="16">
        <f t="shared" si="65"/>
        <v>57735.218827923483</v>
      </c>
      <c r="K199" s="16">
        <f t="shared" si="65"/>
        <v>60366.261342078127</v>
      </c>
      <c r="L199" s="16">
        <f t="shared" si="65"/>
        <v>63249.910925506272</v>
      </c>
      <c r="M199" s="16">
        <f t="shared" si="65"/>
        <v>66399.091435290276</v>
      </c>
    </row>
    <row r="200" spans="1:13" ht="12.75" x14ac:dyDescent="0.2">
      <c r="A200" s="1"/>
      <c r="B200" s="1"/>
      <c r="C200" s="1"/>
      <c r="D200" s="3"/>
      <c r="E200" s="3"/>
      <c r="F200" s="3"/>
      <c r="G200" s="3"/>
      <c r="H200" s="3"/>
      <c r="I200" s="3"/>
      <c r="J200" s="3"/>
      <c r="K200" s="3"/>
      <c r="L200" s="3"/>
      <c r="M200" s="3"/>
    </row>
    <row r="201" spans="1:13" ht="12.75" hidden="1" x14ac:dyDescent="0.2">
      <c r="A201" s="1"/>
      <c r="B201" s="1"/>
      <c r="C201" s="1"/>
      <c r="D201" s="32"/>
      <c r="E201" s="32"/>
      <c r="F201" s="32"/>
      <c r="G201" s="32"/>
      <c r="H201" s="32"/>
      <c r="I201" s="32"/>
      <c r="J201" s="32"/>
      <c r="K201" s="32"/>
      <c r="L201" s="32"/>
      <c r="M201" s="32"/>
    </row>
    <row r="202" spans="1:13" ht="12.75" hidden="1" x14ac:dyDescent="0.2">
      <c r="A202" s="1"/>
      <c r="B202" s="1"/>
      <c r="C202" s="1"/>
      <c r="D202" s="33"/>
      <c r="E202" s="32"/>
      <c r="F202" s="32"/>
      <c r="G202" s="32"/>
      <c r="H202" s="32"/>
      <c r="I202" s="32"/>
      <c r="J202" s="32"/>
      <c r="K202" s="32"/>
      <c r="L202" s="32"/>
      <c r="M202" s="32"/>
    </row>
    <row r="203" spans="1:13" ht="12.75" hidden="1" x14ac:dyDescent="0.2">
      <c r="A203" s="2"/>
      <c r="B203" s="1"/>
      <c r="C203" s="1"/>
      <c r="D203" s="3"/>
      <c r="E203" s="33"/>
      <c r="F203" s="32"/>
      <c r="G203" s="32"/>
      <c r="H203" s="32"/>
      <c r="I203" s="32"/>
      <c r="J203" s="32"/>
      <c r="K203" s="32"/>
      <c r="L203" s="32"/>
      <c r="M203" s="32"/>
    </row>
    <row r="204" spans="1:13" ht="12.75" hidden="1" x14ac:dyDescent="0.2">
      <c r="A204" s="2"/>
      <c r="B204" s="1"/>
      <c r="C204" s="1"/>
      <c r="D204" s="3"/>
      <c r="E204" s="3"/>
      <c r="F204" s="33"/>
      <c r="G204" s="32"/>
      <c r="H204" s="32"/>
      <c r="I204" s="32"/>
      <c r="J204" s="32"/>
      <c r="K204" s="32"/>
      <c r="L204" s="32"/>
      <c r="M204" s="32"/>
    </row>
    <row r="205" spans="1:13" ht="12.75" hidden="1" x14ac:dyDescent="0.2">
      <c r="A205" s="2"/>
      <c r="B205" s="1"/>
      <c r="C205" s="1"/>
      <c r="D205" s="3"/>
      <c r="E205" s="3"/>
      <c r="F205" s="3"/>
      <c r="G205" s="33"/>
      <c r="H205" s="32"/>
      <c r="I205" s="32"/>
      <c r="J205" s="32"/>
      <c r="K205" s="32"/>
      <c r="L205" s="32"/>
      <c r="M205" s="32"/>
    </row>
    <row r="206" spans="1:13" ht="12.75" hidden="1" x14ac:dyDescent="0.2">
      <c r="A206" s="2"/>
      <c r="B206" s="1"/>
      <c r="C206" s="1"/>
      <c r="D206" s="3"/>
      <c r="E206" s="3"/>
      <c r="F206" s="3"/>
      <c r="G206" s="3"/>
      <c r="H206" s="33"/>
      <c r="I206" s="32"/>
      <c r="J206" s="32"/>
      <c r="K206" s="32"/>
      <c r="L206" s="32"/>
      <c r="M206" s="32"/>
    </row>
    <row r="207" spans="1:13" ht="12.75" hidden="1" x14ac:dyDescent="0.2">
      <c r="A207" s="1"/>
      <c r="B207" s="1"/>
      <c r="C207" s="1"/>
      <c r="D207" s="3"/>
      <c r="E207" s="3"/>
      <c r="F207" s="3"/>
      <c r="G207" s="3"/>
      <c r="H207" s="3"/>
      <c r="I207" s="33"/>
      <c r="J207" s="32"/>
      <c r="K207" s="32"/>
      <c r="L207" s="32"/>
      <c r="M207" s="32"/>
    </row>
    <row r="208" spans="1:13" ht="12.75" hidden="1" x14ac:dyDescent="0.2">
      <c r="A208" s="1"/>
      <c r="B208" s="1"/>
      <c r="C208" s="1"/>
      <c r="D208" s="3"/>
      <c r="E208" s="3"/>
      <c r="F208" s="3"/>
      <c r="G208" s="3"/>
      <c r="H208" s="3"/>
      <c r="I208" s="3"/>
      <c r="J208" s="33"/>
      <c r="K208" s="32"/>
      <c r="L208" s="32"/>
      <c r="M208" s="32"/>
    </row>
    <row r="209" spans="1:13" ht="12.75" hidden="1" x14ac:dyDescent="0.2">
      <c r="A209" s="1"/>
      <c r="B209" s="1"/>
      <c r="C209" s="1"/>
      <c r="D209" s="3"/>
      <c r="E209" s="3"/>
      <c r="F209" s="3"/>
      <c r="G209" s="3"/>
      <c r="H209" s="3"/>
      <c r="I209" s="3"/>
      <c r="J209" s="3"/>
      <c r="K209" s="33"/>
      <c r="L209" s="32"/>
      <c r="M209" s="32"/>
    </row>
    <row r="210" spans="1:13" ht="12.75" hidden="1" x14ac:dyDescent="0.2">
      <c r="A210" s="1"/>
      <c r="B210" s="1"/>
      <c r="C210" s="1"/>
      <c r="D210" s="3"/>
      <c r="E210" s="3"/>
      <c r="F210" s="3"/>
      <c r="G210" s="3"/>
      <c r="H210" s="3"/>
      <c r="I210" s="3"/>
      <c r="J210" s="3"/>
      <c r="K210" s="3"/>
      <c r="L210" s="33"/>
      <c r="M210" s="32"/>
    </row>
    <row r="211" spans="1:13" ht="12.75" hidden="1" x14ac:dyDescent="0.2">
      <c r="A211" s="1"/>
      <c r="B211" s="1"/>
      <c r="C211" s="1"/>
      <c r="D211" s="3"/>
      <c r="E211" s="3"/>
      <c r="F211" s="3"/>
      <c r="G211" s="3"/>
      <c r="H211" s="3"/>
      <c r="I211" s="3"/>
      <c r="J211" s="3"/>
      <c r="K211" s="3"/>
      <c r="L211" s="3"/>
      <c r="M211" s="33"/>
    </row>
    <row r="212" spans="1:13" ht="12.75" x14ac:dyDescent="0.2">
      <c r="A212" s="1" t="s">
        <v>174</v>
      </c>
      <c r="B212" s="1"/>
      <c r="C212" s="1"/>
      <c r="D212" s="3"/>
      <c r="E212" s="3"/>
      <c r="F212" s="3"/>
      <c r="G212" s="3"/>
      <c r="H212" s="3"/>
      <c r="I212" s="3"/>
      <c r="J212" s="3"/>
      <c r="K212" s="3"/>
      <c r="L212" s="3"/>
      <c r="M212" s="3"/>
    </row>
    <row r="213" spans="1:13" ht="12.75" x14ac:dyDescent="0.2">
      <c r="A213" s="1"/>
      <c r="B213" s="1"/>
      <c r="C213" s="1"/>
      <c r="D213" s="3"/>
      <c r="E213" s="3"/>
      <c r="F213" s="2" t="s">
        <v>109</v>
      </c>
      <c r="G213" s="3"/>
      <c r="H213" s="3"/>
      <c r="I213" s="3"/>
      <c r="J213" s="3"/>
      <c r="K213" s="3"/>
      <c r="L213" s="3"/>
      <c r="M213" s="3"/>
    </row>
    <row r="214" spans="1:13" ht="12.75" x14ac:dyDescent="0.2">
      <c r="A214" s="1"/>
      <c r="B214" s="1"/>
      <c r="C214" s="1"/>
      <c r="D214" s="3"/>
      <c r="E214" s="3"/>
      <c r="F214" s="3"/>
      <c r="G214" s="3"/>
      <c r="H214" s="3"/>
      <c r="I214" s="3"/>
      <c r="J214" s="3"/>
      <c r="K214" s="3"/>
      <c r="L214" s="3"/>
      <c r="M214" s="3"/>
    </row>
    <row r="215" spans="1:13" ht="12.75" x14ac:dyDescent="0.2">
      <c r="A215" s="2"/>
      <c r="B215" s="1"/>
      <c r="C215" s="1"/>
      <c r="D215" s="31" t="s">
        <v>142</v>
      </c>
      <c r="E215" s="31" t="s">
        <v>117</v>
      </c>
      <c r="F215" s="31" t="s">
        <v>118</v>
      </c>
      <c r="G215" s="31" t="s">
        <v>119</v>
      </c>
      <c r="H215" s="31" t="s">
        <v>120</v>
      </c>
      <c r="I215" s="31" t="s">
        <v>121</v>
      </c>
      <c r="J215" s="31" t="s">
        <v>122</v>
      </c>
      <c r="K215" s="31" t="s">
        <v>123</v>
      </c>
      <c r="L215" s="31" t="s">
        <v>124</v>
      </c>
      <c r="M215" s="31" t="s">
        <v>125</v>
      </c>
    </row>
    <row r="216" spans="1:13" ht="12.75" x14ac:dyDescent="0.2">
      <c r="A216" s="1"/>
      <c r="B216" s="1"/>
      <c r="C216" s="1"/>
      <c r="D216" s="3"/>
      <c r="E216" s="3"/>
      <c r="F216" s="3"/>
      <c r="G216" s="3"/>
      <c r="H216" s="3"/>
      <c r="I216" s="3"/>
      <c r="J216" s="3"/>
      <c r="K216" s="3"/>
      <c r="L216" s="3"/>
      <c r="M216" s="3"/>
    </row>
    <row r="217" spans="1:13" ht="12.75" x14ac:dyDescent="0.2">
      <c r="A217" s="2" t="s">
        <v>50</v>
      </c>
      <c r="B217" s="1"/>
      <c r="C217" s="1"/>
      <c r="D217" s="16">
        <f t="shared" ref="D217:M217" si="66">D92</f>
        <v>22050.77</v>
      </c>
      <c r="E217" s="16">
        <f t="shared" si="66"/>
        <v>22491.785399999997</v>
      </c>
      <c r="F217" s="16">
        <f t="shared" si="66"/>
        <v>22941.621107999999</v>
      </c>
      <c r="G217" s="16">
        <f t="shared" si="66"/>
        <v>23400.453530159994</v>
      </c>
      <c r="H217" s="16">
        <f t="shared" si="66"/>
        <v>23868.462600763196</v>
      </c>
      <c r="I217" s="16">
        <f t="shared" si="66"/>
        <v>24345.831852778458</v>
      </c>
      <c r="J217" s="16">
        <f t="shared" si="66"/>
        <v>24832.748489834023</v>
      </c>
      <c r="K217" s="16">
        <f t="shared" si="66"/>
        <v>25329.40345963071</v>
      </c>
      <c r="L217" s="16">
        <f t="shared" si="66"/>
        <v>25835.991528823324</v>
      </c>
      <c r="M217" s="16">
        <f t="shared" si="66"/>
        <v>26352.711359399786</v>
      </c>
    </row>
    <row r="218" spans="1:13" ht="12.75" x14ac:dyDescent="0.2">
      <c r="A218" s="2" t="s">
        <v>89</v>
      </c>
      <c r="B218" s="1"/>
      <c r="C218" s="1"/>
      <c r="D218" s="16">
        <f t="shared" ref="D218:M218" si="67">D99</f>
        <v>15202.788363703778</v>
      </c>
      <c r="E218" s="16">
        <f t="shared" si="67"/>
        <v>15202.788363703778</v>
      </c>
      <c r="F218" s="16">
        <f t="shared" si="67"/>
        <v>15202.788363703778</v>
      </c>
      <c r="G218" s="16">
        <f t="shared" si="67"/>
        <v>15202.788363703778</v>
      </c>
      <c r="H218" s="16">
        <f t="shared" si="67"/>
        <v>15202.788363703778</v>
      </c>
      <c r="I218" s="16">
        <f t="shared" si="67"/>
        <v>15202.788363703778</v>
      </c>
      <c r="J218" s="16">
        <f t="shared" si="67"/>
        <v>15202.788363703778</v>
      </c>
      <c r="K218" s="16">
        <f t="shared" si="67"/>
        <v>15202.788363703778</v>
      </c>
      <c r="L218" s="16">
        <f t="shared" si="67"/>
        <v>15202.788363703778</v>
      </c>
      <c r="M218" s="16">
        <f t="shared" si="67"/>
        <v>15202.788363703778</v>
      </c>
    </row>
    <row r="219" spans="1:13" ht="12.75" x14ac:dyDescent="0.2">
      <c r="A219" s="2" t="s">
        <v>110</v>
      </c>
      <c r="B219" s="1"/>
      <c r="C219" s="1"/>
      <c r="D219" s="20">
        <f t="shared" ref="D219:M219" si="68">D217/D218</f>
        <v>1.4504424762397918</v>
      </c>
      <c r="E219" s="20">
        <f t="shared" si="68"/>
        <v>1.4794513257645874</v>
      </c>
      <c r="F219" s="20">
        <f t="shared" si="68"/>
        <v>1.5090403522798794</v>
      </c>
      <c r="G219" s="20">
        <f t="shared" si="68"/>
        <v>1.5392211593254765</v>
      </c>
      <c r="H219" s="20">
        <f t="shared" si="68"/>
        <v>1.5700055825119863</v>
      </c>
      <c r="I219" s="20">
        <f t="shared" si="68"/>
        <v>1.6014056941622259</v>
      </c>
      <c r="J219" s="20">
        <f t="shared" si="68"/>
        <v>1.63343380804547</v>
      </c>
      <c r="K219" s="20">
        <f t="shared" si="68"/>
        <v>1.6661024842063799</v>
      </c>
      <c r="L219" s="20">
        <f t="shared" si="68"/>
        <v>1.6994245338905076</v>
      </c>
      <c r="M219" s="20">
        <f t="shared" si="68"/>
        <v>1.7334130245683175</v>
      </c>
    </row>
    <row r="220" spans="1:13" ht="12.75" x14ac:dyDescent="0.2">
      <c r="A220" s="1"/>
      <c r="B220" s="1"/>
      <c r="C220" s="1"/>
      <c r="D220" s="3"/>
      <c r="E220" s="3"/>
      <c r="F220" s="3"/>
      <c r="G220" s="3"/>
      <c r="H220" s="3"/>
      <c r="I220" s="3"/>
      <c r="J220" s="3"/>
      <c r="K220" s="3"/>
      <c r="L220" s="3"/>
      <c r="M220" s="3"/>
    </row>
    <row r="221" spans="1:13" ht="12.75" x14ac:dyDescent="0.2">
      <c r="A221" s="1"/>
      <c r="B221" s="1"/>
      <c r="C221" s="1"/>
      <c r="D221" s="3"/>
      <c r="E221" s="4"/>
      <c r="F221" s="3"/>
      <c r="G221" s="3"/>
      <c r="H221" s="3"/>
      <c r="I221" s="3"/>
      <c r="J221" s="3"/>
      <c r="K221" s="3"/>
      <c r="L221" s="4" t="s">
        <v>183</v>
      </c>
      <c r="M221" s="3"/>
    </row>
    <row r="222" spans="1:13" ht="12.75" x14ac:dyDescent="0.2">
      <c r="A222" s="2" t="s">
        <v>91</v>
      </c>
      <c r="B222" s="1"/>
      <c r="C222" s="1"/>
      <c r="D222" s="3"/>
      <c r="E222" s="3"/>
      <c r="F222" s="3"/>
      <c r="G222" s="3"/>
      <c r="H222" s="3"/>
      <c r="I222" s="3"/>
      <c r="J222" s="3"/>
      <c r="K222" s="3"/>
      <c r="L222" s="3"/>
      <c r="M222" s="3"/>
    </row>
    <row r="223" spans="1:13" ht="12.75" x14ac:dyDescent="0.2">
      <c r="A223" s="2" t="s">
        <v>92</v>
      </c>
      <c r="B223" s="1"/>
      <c r="C223" s="2"/>
      <c r="D223" s="3"/>
      <c r="E223" s="3"/>
      <c r="F223" s="3"/>
      <c r="G223" s="3"/>
      <c r="H223" s="4" t="s">
        <v>90</v>
      </c>
      <c r="I223" s="11">
        <f ca="1">TRUNC(NOW())</f>
        <v>45050</v>
      </c>
      <c r="J223" s="3"/>
      <c r="K223" s="3"/>
      <c r="L223" s="3"/>
      <c r="M223" s="3"/>
    </row>
    <row r="224" spans="1:13" ht="12.75" x14ac:dyDescent="0.2">
      <c r="A224" s="2" t="s">
        <v>0</v>
      </c>
      <c r="B224" s="1"/>
      <c r="C224" s="2" t="s">
        <v>108</v>
      </c>
      <c r="D224" s="3"/>
      <c r="E224" s="3"/>
      <c r="F224" s="3"/>
      <c r="G224" s="3"/>
      <c r="H224" s="3"/>
      <c r="I224" s="3"/>
      <c r="J224" s="3"/>
      <c r="K224" s="3"/>
      <c r="L224" s="3"/>
      <c r="M224" s="3"/>
    </row>
    <row r="225" spans="1:13" ht="12.75" x14ac:dyDescent="0.2">
      <c r="B225" s="1"/>
      <c r="C225" s="12">
        <f>E13</f>
        <v>0</v>
      </c>
      <c r="D225" s="28"/>
      <c r="F225" s="28"/>
      <c r="G225" s="28"/>
      <c r="H225" s="28"/>
      <c r="I225" s="28"/>
      <c r="J225" s="28"/>
      <c r="K225" s="28"/>
      <c r="L225" s="28"/>
      <c r="M225" s="28"/>
    </row>
    <row r="226" spans="1:13" x14ac:dyDescent="0.15">
      <c r="A226" s="34" t="s">
        <v>94</v>
      </c>
    </row>
    <row r="227" spans="1:13" x14ac:dyDescent="0.15">
      <c r="A227" s="34" t="s">
        <v>93</v>
      </c>
    </row>
    <row r="229" spans="1:13" ht="12.75" x14ac:dyDescent="0.2">
      <c r="A229" s="1" t="s">
        <v>154</v>
      </c>
      <c r="D229" s="1"/>
      <c r="E229" s="3"/>
      <c r="F229" s="2"/>
      <c r="G229" s="1"/>
      <c r="H229" s="1"/>
      <c r="I229" s="1"/>
      <c r="J229" s="1"/>
    </row>
    <row r="230" spans="1:13" ht="12.75" x14ac:dyDescent="0.2">
      <c r="A230" s="1" t="s">
        <v>155</v>
      </c>
      <c r="C230" s="1"/>
      <c r="D230" s="1"/>
      <c r="E230" s="3"/>
      <c r="F230" s="2"/>
      <c r="G230" s="1"/>
      <c r="H230" s="1"/>
      <c r="I230" s="1"/>
      <c r="J230" s="1"/>
    </row>
    <row r="231" spans="1:13" ht="12.75" x14ac:dyDescent="0.2">
      <c r="B231" s="1"/>
      <c r="C231" s="1"/>
    </row>
    <row r="233" spans="1:13" x14ac:dyDescent="0.15">
      <c r="A233" s="23" t="s">
        <v>159</v>
      </c>
      <c r="C233" s="35" t="s">
        <v>158</v>
      </c>
    </row>
    <row r="234" spans="1:13" x14ac:dyDescent="0.15">
      <c r="A234" s="23" t="s">
        <v>160</v>
      </c>
    </row>
    <row r="258" spans="1:1" x14ac:dyDescent="0.15">
      <c r="A258" s="23" t="s">
        <v>166</v>
      </c>
    </row>
  </sheetData>
  <phoneticPr fontId="0" type="noConversion"/>
  <hyperlinks>
    <hyperlink ref="D10" r:id="rId1" display="http://www.mortgage-investments.com/"/>
    <hyperlink ref="C233" r:id="rId2" display="http://www.mortgage-investments.com/"/>
    <hyperlink ref="A7" r:id="rId3" display="http://www.mortgage-investments.com/"/>
  </hyperlinks>
  <pageMargins left="0.5" right="0.5" top="0.5" bottom="0.5" header="0.5" footer="0.5"/>
  <pageSetup scale="66" fitToHeight="4" pageOrder="overThenDown" orientation="landscape" horizontalDpi="300" verticalDpi="300" r:id="rId4"/>
  <headerFooter alignWithMargins="0"/>
  <rowBreaks count="3" manualBreakCount="3">
    <brk id="50" max="16383" man="1"/>
    <brk id="130" max="16383" man="1"/>
    <brk id="167" max="16383"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9"/>
  <sheetViews>
    <sheetView tabSelected="1" workbookViewId="0">
      <selection activeCell="C22" sqref="C22"/>
    </sheetView>
  </sheetViews>
  <sheetFormatPr defaultColWidth="10" defaultRowHeight="12" x14ac:dyDescent="0.15"/>
  <cols>
    <col min="1" max="2" width="7.75" style="23" customWidth="1"/>
    <col min="3" max="3" width="11.125" style="23" customWidth="1"/>
    <col min="4" max="4" width="8.25" style="23" customWidth="1"/>
    <col min="5" max="5" width="7.625" style="28" customWidth="1"/>
    <col min="6" max="6" width="8.875" style="23" customWidth="1"/>
    <col min="7" max="7" width="8.125" style="23" customWidth="1"/>
    <col min="8" max="8" width="8.5" style="23" customWidth="1"/>
    <col min="9" max="9" width="8.375" style="23" customWidth="1"/>
    <col min="10" max="10" width="8.25" style="23" customWidth="1"/>
    <col min="11" max="11" width="8.75" style="23" customWidth="1"/>
    <col min="12" max="12" width="10.875" style="23" customWidth="1"/>
    <col min="13" max="13" width="9.5" style="23" customWidth="1"/>
    <col min="14" max="16384" width="10" style="23"/>
  </cols>
  <sheetData>
    <row r="1" spans="1:13" ht="12.75" x14ac:dyDescent="0.2">
      <c r="A1" s="1"/>
      <c r="B1" s="1"/>
      <c r="C1" s="1"/>
      <c r="D1" s="1"/>
      <c r="E1" s="3"/>
      <c r="F1" s="1"/>
      <c r="G1" s="1"/>
      <c r="H1" s="1"/>
      <c r="I1" s="1"/>
      <c r="J1" s="1"/>
      <c r="K1" s="1"/>
      <c r="L1" s="1"/>
      <c r="M1" s="1"/>
    </row>
    <row r="2" spans="1:13" ht="12.75" x14ac:dyDescent="0.2">
      <c r="A2" s="1"/>
      <c r="B2" s="1"/>
      <c r="C2" s="1"/>
      <c r="D2" s="1"/>
      <c r="E2" s="2" t="s">
        <v>99</v>
      </c>
      <c r="F2" s="1"/>
      <c r="G2" s="1"/>
      <c r="H2" s="1"/>
      <c r="I2" s="1"/>
      <c r="J2" s="1"/>
      <c r="K2" s="1"/>
      <c r="L2" s="2" t="s">
        <v>181</v>
      </c>
      <c r="M2" s="1"/>
    </row>
    <row r="3" spans="1:13" ht="12.75" x14ac:dyDescent="0.2">
      <c r="A3" s="1"/>
      <c r="B3" s="1"/>
      <c r="C3" s="1"/>
      <c r="D3" s="1"/>
      <c r="E3" s="4"/>
      <c r="F3" s="1"/>
      <c r="G3" s="1"/>
      <c r="H3" s="1"/>
      <c r="I3" s="1"/>
      <c r="J3" s="1"/>
      <c r="K3" s="1"/>
      <c r="L3" s="2"/>
      <c r="M3" s="1"/>
    </row>
    <row r="4" spans="1:13" ht="12.75" x14ac:dyDescent="0.2">
      <c r="A4" s="1"/>
      <c r="B4" s="1"/>
      <c r="C4" s="1"/>
      <c r="D4" s="1"/>
      <c r="E4" s="4"/>
      <c r="F4" s="1"/>
      <c r="G4" s="1"/>
      <c r="H4" s="1"/>
      <c r="I4" s="1"/>
      <c r="J4" s="1"/>
      <c r="K4" s="1"/>
      <c r="L4" s="2"/>
      <c r="M4" s="1"/>
    </row>
    <row r="5" spans="1:13" ht="12.75" x14ac:dyDescent="0.2">
      <c r="A5" s="1" t="s">
        <v>153</v>
      </c>
      <c r="C5" s="1"/>
      <c r="D5" s="1"/>
      <c r="E5" s="3"/>
      <c r="F5" s="2"/>
      <c r="G5" s="1"/>
      <c r="H5" s="1"/>
      <c r="I5" s="1"/>
      <c r="J5" s="1"/>
      <c r="K5" s="1"/>
      <c r="L5" s="1"/>
      <c r="M5" s="1"/>
    </row>
    <row r="6" spans="1:13" ht="12.75" x14ac:dyDescent="0.2">
      <c r="A6" s="1" t="s">
        <v>162</v>
      </c>
      <c r="C6" s="1"/>
      <c r="D6" s="1"/>
      <c r="E6" s="3"/>
      <c r="F6" s="2"/>
      <c r="G6" s="1"/>
      <c r="H6" s="1"/>
      <c r="I6" s="1"/>
      <c r="J6" s="1"/>
      <c r="K6" s="1"/>
      <c r="L6" s="1"/>
      <c r="M6" s="1"/>
    </row>
    <row r="7" spans="1:13" ht="12.75" x14ac:dyDescent="0.2">
      <c r="A7" s="24" t="s">
        <v>163</v>
      </c>
      <c r="C7" s="25"/>
      <c r="D7" s="1"/>
      <c r="E7" s="3"/>
      <c r="F7" s="2"/>
      <c r="G7" s="1"/>
      <c r="H7" s="1"/>
      <c r="I7" s="1"/>
      <c r="J7" s="1"/>
      <c r="K7" s="1"/>
      <c r="L7" s="1"/>
      <c r="M7" s="1"/>
    </row>
    <row r="8" spans="1:13" ht="12.75" x14ac:dyDescent="0.2">
      <c r="A8" s="1" t="s">
        <v>164</v>
      </c>
      <c r="B8" s="1"/>
      <c r="C8" s="1"/>
      <c r="D8" s="1"/>
      <c r="E8" s="3"/>
      <c r="F8" s="2"/>
      <c r="G8" s="1"/>
      <c r="H8" s="1"/>
      <c r="I8" s="1"/>
      <c r="J8" s="1"/>
      <c r="K8" s="1"/>
      <c r="L8" s="1"/>
      <c r="M8" s="1"/>
    </row>
    <row r="9" spans="1:13" ht="12.75" x14ac:dyDescent="0.2">
      <c r="A9" s="1"/>
      <c r="B9" s="1"/>
      <c r="C9" s="1"/>
      <c r="D9" s="1"/>
      <c r="E9" s="3"/>
      <c r="F9" s="2"/>
      <c r="G9" s="1"/>
      <c r="H9" s="1"/>
      <c r="I9" s="1"/>
      <c r="J9" s="1"/>
      <c r="K9" s="1"/>
      <c r="L9" s="1"/>
      <c r="M9" s="1"/>
    </row>
    <row r="10" spans="1:13" ht="12.75" x14ac:dyDescent="0.2">
      <c r="A10" s="1"/>
      <c r="B10" s="1"/>
      <c r="C10" s="1"/>
      <c r="D10" s="26" t="s">
        <v>165</v>
      </c>
      <c r="E10" s="3"/>
      <c r="F10" s="1"/>
      <c r="G10" s="1"/>
      <c r="H10" s="1"/>
      <c r="I10" s="1"/>
      <c r="J10" s="1"/>
      <c r="K10" s="1"/>
      <c r="L10" s="22">
        <f ca="1">TRUNC(NOW())</f>
        <v>45050</v>
      </c>
      <c r="M10" s="1"/>
    </row>
    <row r="11" spans="1:13" ht="12.75" x14ac:dyDescent="0.2">
      <c r="A11" s="1"/>
      <c r="B11" s="1"/>
      <c r="C11" s="1"/>
      <c r="D11" s="1"/>
      <c r="E11" s="71"/>
      <c r="F11" s="1"/>
      <c r="G11" s="1"/>
      <c r="H11" s="1"/>
      <c r="I11" s="1"/>
      <c r="J11" s="1"/>
      <c r="K11" s="1"/>
      <c r="L11" s="1"/>
      <c r="M11" s="1"/>
    </row>
    <row r="12" spans="1:13" ht="12.75" x14ac:dyDescent="0.2">
      <c r="D12" s="39"/>
      <c r="E12" s="72"/>
      <c r="F12" s="39"/>
      <c r="G12" s="39"/>
      <c r="H12" s="39"/>
      <c r="I12" s="39"/>
      <c r="J12" s="39"/>
      <c r="K12" s="39"/>
      <c r="L12" s="39"/>
      <c r="M12" s="39"/>
    </row>
    <row r="13" spans="1:13" ht="12.75" x14ac:dyDescent="0.2">
      <c r="D13" s="38"/>
      <c r="E13" s="73"/>
      <c r="F13" s="38"/>
      <c r="G13" s="38"/>
      <c r="H13" s="38"/>
      <c r="I13" s="38"/>
      <c r="J13" s="38"/>
      <c r="K13" s="38"/>
      <c r="L13" s="38"/>
    </row>
    <row r="14" spans="1:13" ht="12.75" x14ac:dyDescent="0.2">
      <c r="D14" s="38"/>
      <c r="E14" s="73"/>
      <c r="F14" s="38"/>
      <c r="G14" s="38"/>
      <c r="H14" s="38"/>
      <c r="I14" s="38"/>
      <c r="J14" s="38"/>
      <c r="K14" s="38"/>
      <c r="L14" s="38"/>
    </row>
    <row r="15" spans="1:13" ht="12.75" x14ac:dyDescent="0.2">
      <c r="D15" s="39"/>
      <c r="E15" s="72"/>
      <c r="F15" s="39"/>
      <c r="G15" s="39"/>
      <c r="H15" s="39"/>
      <c r="I15" s="39"/>
      <c r="J15" s="39"/>
      <c r="K15" s="39"/>
      <c r="L15" s="39"/>
    </row>
    <row r="17" spans="1:13" ht="12.75" x14ac:dyDescent="0.2">
      <c r="A17" s="1"/>
      <c r="D17" s="1"/>
      <c r="E17" s="3"/>
      <c r="F17" s="1"/>
      <c r="G17" s="1"/>
      <c r="H17" s="1"/>
      <c r="I17" s="1"/>
      <c r="J17" s="1"/>
      <c r="K17" s="1"/>
      <c r="L17" s="1"/>
      <c r="M17" s="1"/>
    </row>
    <row r="18" spans="1:13" ht="12.75" x14ac:dyDescent="0.2">
      <c r="A18" s="1"/>
      <c r="D18" s="1"/>
      <c r="E18" s="2" t="s">
        <v>1</v>
      </c>
      <c r="F18" s="1"/>
      <c r="G18" s="1"/>
      <c r="H18" s="5">
        <v>260000</v>
      </c>
      <c r="I18" s="1"/>
      <c r="J18" s="1"/>
      <c r="K18" s="1"/>
      <c r="L18" s="1"/>
      <c r="M18" s="1"/>
    </row>
    <row r="19" spans="1:13" ht="12.75" x14ac:dyDescent="0.2">
      <c r="A19" s="1"/>
      <c r="B19" s="1" t="s">
        <v>186</v>
      </c>
      <c r="C19" s="39">
        <f>D100/D165</f>
        <v>4.5032014406773596E-2</v>
      </c>
      <c r="D19" s="1"/>
      <c r="E19" s="2" t="s">
        <v>2</v>
      </c>
      <c r="F19" s="1"/>
      <c r="G19" s="1"/>
      <c r="H19" s="5">
        <f>H18*0.2</f>
        <v>52000</v>
      </c>
      <c r="I19" s="40"/>
      <c r="J19" s="38"/>
      <c r="K19" s="38"/>
      <c r="L19" s="1"/>
      <c r="M19" s="1"/>
    </row>
    <row r="20" spans="1:13" ht="12.75" x14ac:dyDescent="0.2">
      <c r="A20" s="1"/>
      <c r="B20" s="1" t="s">
        <v>187</v>
      </c>
      <c r="C20" s="38">
        <f>D98</f>
        <v>18814.16</v>
      </c>
      <c r="D20" s="1"/>
      <c r="E20" s="2" t="s">
        <v>3</v>
      </c>
      <c r="F20" s="1"/>
      <c r="G20" s="1"/>
      <c r="H20" s="6">
        <v>5</v>
      </c>
      <c r="I20" s="2" t="s">
        <v>115</v>
      </c>
      <c r="J20" s="1"/>
      <c r="K20" s="1"/>
      <c r="L20" s="1"/>
      <c r="M20" s="1"/>
    </row>
    <row r="21" spans="1:13" ht="12.75" x14ac:dyDescent="0.2">
      <c r="A21" s="1"/>
      <c r="B21" s="1" t="s">
        <v>223</v>
      </c>
      <c r="C21" s="39">
        <f>D92/H18</f>
        <v>7.236215384615384E-2</v>
      </c>
      <c r="D21" s="1"/>
      <c r="E21" s="2" t="s">
        <v>5</v>
      </c>
      <c r="F21" s="1"/>
      <c r="G21" s="1"/>
      <c r="H21" s="7">
        <v>20</v>
      </c>
      <c r="I21" s="2" t="s">
        <v>6</v>
      </c>
      <c r="J21" s="1"/>
      <c r="K21" s="1"/>
      <c r="L21" s="1"/>
      <c r="M21" s="1"/>
    </row>
    <row r="22" spans="1:13" ht="12.75" x14ac:dyDescent="0.2">
      <c r="A22" s="1"/>
      <c r="B22" s="1" t="s">
        <v>188</v>
      </c>
      <c r="C22" s="39">
        <f>D167</f>
        <v>0.26272908581063903</v>
      </c>
      <c r="D22" s="1"/>
      <c r="E22" s="2" t="s">
        <v>7</v>
      </c>
      <c r="F22" s="1"/>
      <c r="G22" s="1"/>
      <c r="H22" s="7">
        <v>85</v>
      </c>
      <c r="I22" s="2" t="s">
        <v>4</v>
      </c>
      <c r="J22" s="1" t="s">
        <v>157</v>
      </c>
      <c r="K22" s="1"/>
      <c r="L22" s="1"/>
      <c r="M22" s="1"/>
    </row>
    <row r="23" spans="1:13" ht="12.75" x14ac:dyDescent="0.2">
      <c r="A23" s="1"/>
      <c r="B23" s="1" t="s">
        <v>224</v>
      </c>
      <c r="C23" s="85">
        <f>D81</f>
        <v>3119.04</v>
      </c>
      <c r="D23" s="1"/>
      <c r="E23" s="2" t="s">
        <v>8</v>
      </c>
      <c r="F23" s="1"/>
      <c r="G23" s="1"/>
      <c r="H23" s="7">
        <v>27.5</v>
      </c>
      <c r="I23" s="2" t="s">
        <v>169</v>
      </c>
      <c r="J23" s="1"/>
      <c r="L23" s="1" t="s">
        <v>168</v>
      </c>
      <c r="M23" s="1"/>
    </row>
    <row r="24" spans="1:13" ht="12.75" x14ac:dyDescent="0.2">
      <c r="A24" s="1"/>
      <c r="B24" s="1"/>
      <c r="C24" s="1"/>
      <c r="D24" s="1"/>
      <c r="E24" s="2" t="s">
        <v>97</v>
      </c>
      <c r="F24" s="1"/>
      <c r="G24" s="1"/>
      <c r="H24" s="5">
        <f>C33</f>
        <v>41040</v>
      </c>
      <c r="I24" s="1"/>
      <c r="J24" s="1"/>
      <c r="K24" s="1"/>
      <c r="L24" s="1"/>
      <c r="M24" s="1"/>
    </row>
    <row r="25" spans="1:13" ht="12.75" x14ac:dyDescent="0.2">
      <c r="A25" s="1"/>
      <c r="B25" s="1"/>
      <c r="C25" s="1"/>
      <c r="D25" s="1"/>
      <c r="E25" s="2" t="s">
        <v>130</v>
      </c>
      <c r="F25" s="1"/>
      <c r="G25" s="1"/>
      <c r="H25" s="6">
        <v>5</v>
      </c>
      <c r="I25" s="2" t="s">
        <v>4</v>
      </c>
      <c r="J25" s="1"/>
      <c r="K25" s="1"/>
      <c r="L25" s="1"/>
      <c r="M25" s="1"/>
    </row>
    <row r="26" spans="1:13" ht="12.75" x14ac:dyDescent="0.2">
      <c r="A26" s="40"/>
      <c r="D26" s="1"/>
      <c r="E26" s="2" t="s">
        <v>96</v>
      </c>
      <c r="F26" s="1"/>
      <c r="G26" s="1"/>
      <c r="H26" s="4" t="s">
        <v>100</v>
      </c>
      <c r="I26" s="1"/>
      <c r="J26" s="1"/>
      <c r="K26" s="1"/>
      <c r="L26" s="1"/>
      <c r="M26" s="1"/>
    </row>
    <row r="27" spans="1:13" ht="12.75" x14ac:dyDescent="0.2">
      <c r="A27" s="40"/>
      <c r="B27" s="101">
        <v>1</v>
      </c>
      <c r="C27" s="102">
        <v>780</v>
      </c>
      <c r="D27" s="1"/>
      <c r="E27" s="2" t="s">
        <v>95</v>
      </c>
      <c r="F27" s="1"/>
      <c r="G27" s="1"/>
      <c r="H27" s="5">
        <v>1992</v>
      </c>
      <c r="I27" s="1"/>
      <c r="J27" s="1"/>
      <c r="K27" s="1"/>
      <c r="L27" s="1"/>
      <c r="M27" s="1"/>
    </row>
    <row r="28" spans="1:13" ht="12.75" x14ac:dyDescent="0.2">
      <c r="A28" s="42"/>
      <c r="B28" s="101" t="s">
        <v>220</v>
      </c>
      <c r="C28" s="102">
        <v>695</v>
      </c>
      <c r="D28" s="1"/>
      <c r="E28" s="2" t="s">
        <v>9</v>
      </c>
      <c r="F28" s="1"/>
      <c r="G28" s="1"/>
      <c r="H28" s="5">
        <v>1754</v>
      </c>
      <c r="I28" s="1"/>
      <c r="J28" s="1"/>
      <c r="K28" s="1"/>
      <c r="L28" s="1"/>
      <c r="M28" s="1"/>
    </row>
    <row r="29" spans="1:13" ht="12.75" x14ac:dyDescent="0.2">
      <c r="A29" s="42"/>
      <c r="B29" s="101" t="s">
        <v>221</v>
      </c>
      <c r="C29" s="102">
        <v>965</v>
      </c>
      <c r="D29" s="1"/>
      <c r="E29" s="2" t="s">
        <v>10</v>
      </c>
      <c r="F29" s="1"/>
      <c r="G29" s="1"/>
      <c r="H29" s="5">
        <v>1620</v>
      </c>
      <c r="I29" s="1"/>
      <c r="J29" s="1"/>
      <c r="K29" s="1"/>
      <c r="L29" s="1"/>
      <c r="M29" s="1"/>
    </row>
    <row r="30" spans="1:13" ht="12.75" x14ac:dyDescent="0.2">
      <c r="A30" s="41"/>
      <c r="B30" s="101">
        <v>4</v>
      </c>
      <c r="C30" s="102">
        <v>955</v>
      </c>
      <c r="D30" s="1"/>
      <c r="E30" s="2" t="s">
        <v>11</v>
      </c>
      <c r="F30" s="1"/>
      <c r="G30" s="1"/>
      <c r="H30" s="5">
        <v>0</v>
      </c>
      <c r="I30" s="1"/>
      <c r="J30" s="1"/>
      <c r="K30" s="1"/>
      <c r="L30" s="1"/>
      <c r="M30" s="1"/>
    </row>
    <row r="31" spans="1:13" ht="12.75" x14ac:dyDescent="0.2">
      <c r="A31" s="41"/>
      <c r="B31" s="102" t="s">
        <v>219</v>
      </c>
      <c r="C31" s="102">
        <v>25</v>
      </c>
      <c r="D31" s="1"/>
      <c r="E31" s="2" t="s">
        <v>12</v>
      </c>
      <c r="F31" s="1"/>
      <c r="G31" s="1"/>
      <c r="H31" s="5">
        <f>I31*J31</f>
        <v>7140</v>
      </c>
      <c r="I31" s="1">
        <v>1700</v>
      </c>
      <c r="J31" s="1">
        <v>4.2</v>
      </c>
      <c r="K31" s="1" t="s">
        <v>243</v>
      </c>
      <c r="M31" s="1"/>
    </row>
    <row r="32" spans="1:13" ht="12.75" x14ac:dyDescent="0.2">
      <c r="A32" s="41"/>
      <c r="B32" s="102"/>
      <c r="C32" s="102">
        <f t="shared" ref="C32" si="0">SUM(C27:C31)</f>
        <v>3420</v>
      </c>
      <c r="D32" s="1"/>
      <c r="E32" s="2" t="s">
        <v>13</v>
      </c>
      <c r="F32" s="1"/>
      <c r="G32" s="1"/>
      <c r="H32" s="5">
        <v>650</v>
      </c>
      <c r="I32" s="1"/>
      <c r="J32" s="1"/>
      <c r="K32" s="1"/>
      <c r="L32" s="1"/>
      <c r="M32" s="1"/>
    </row>
    <row r="33" spans="1:13" ht="12.75" x14ac:dyDescent="0.2">
      <c r="A33" s="1"/>
      <c r="B33" s="102"/>
      <c r="C33" s="102">
        <f t="shared" ref="C33" si="1">C32*12</f>
        <v>41040</v>
      </c>
      <c r="D33" s="1"/>
      <c r="E33" s="2" t="s">
        <v>113</v>
      </c>
      <c r="F33" s="1"/>
      <c r="G33" s="1"/>
      <c r="H33" s="5">
        <v>0</v>
      </c>
      <c r="I33" s="1"/>
      <c r="J33" s="1"/>
      <c r="K33" s="1"/>
      <c r="L33" s="1"/>
      <c r="M33" s="1"/>
    </row>
    <row r="34" spans="1:13" ht="12.75" x14ac:dyDescent="0.2">
      <c r="A34" s="1"/>
      <c r="D34" s="1"/>
      <c r="E34" s="2" t="s">
        <v>14</v>
      </c>
      <c r="F34" s="1"/>
      <c r="G34" s="1"/>
      <c r="H34" s="6">
        <v>8</v>
      </c>
      <c r="I34" s="79" t="s">
        <v>210</v>
      </c>
      <c r="J34" s="1"/>
      <c r="K34" s="1"/>
      <c r="L34" s="1"/>
      <c r="M34" s="1"/>
    </row>
    <row r="35" spans="1:13" ht="12.75" x14ac:dyDescent="0.2">
      <c r="A35" s="1"/>
      <c r="B35" s="1"/>
      <c r="C35" s="1"/>
      <c r="D35" s="1"/>
      <c r="E35" s="2" t="s">
        <v>234</v>
      </c>
      <c r="F35" s="1"/>
      <c r="G35" s="1"/>
      <c r="H35" s="6">
        <v>10</v>
      </c>
      <c r="I35" s="2" t="s">
        <v>114</v>
      </c>
      <c r="J35" s="1" t="s">
        <v>226</v>
      </c>
      <c r="K35" s="1"/>
      <c r="L35" s="1"/>
      <c r="M35" s="1"/>
    </row>
    <row r="36" spans="1:13" ht="12.75" x14ac:dyDescent="0.2">
      <c r="A36" s="1"/>
      <c r="B36" s="1"/>
      <c r="C36" s="1"/>
      <c r="D36" s="1"/>
      <c r="E36" s="2" t="s">
        <v>15</v>
      </c>
      <c r="F36" s="1"/>
      <c r="G36" s="1"/>
      <c r="H36" s="5">
        <v>0</v>
      </c>
      <c r="I36" s="1"/>
      <c r="J36" s="1"/>
      <c r="K36" s="1"/>
      <c r="L36" s="1"/>
      <c r="M36" s="1"/>
    </row>
    <row r="37" spans="1:13" ht="12.75" x14ac:dyDescent="0.2">
      <c r="A37" s="40"/>
      <c r="B37" s="40"/>
      <c r="C37" s="40"/>
      <c r="D37" s="40"/>
      <c r="E37" s="2" t="s">
        <v>16</v>
      </c>
      <c r="F37" s="1"/>
      <c r="G37" s="1"/>
      <c r="H37" s="5">
        <v>0</v>
      </c>
      <c r="I37" s="1"/>
      <c r="J37" s="1"/>
      <c r="K37" s="1"/>
      <c r="L37" s="1"/>
      <c r="M37" s="1"/>
    </row>
    <row r="38" spans="1:13" ht="12.75" x14ac:dyDescent="0.2">
      <c r="A38" s="1"/>
      <c r="B38" s="1"/>
      <c r="C38" s="1"/>
      <c r="D38" s="1"/>
      <c r="E38" s="2" t="s">
        <v>189</v>
      </c>
      <c r="F38" s="1"/>
      <c r="G38" s="1"/>
      <c r="H38" s="5">
        <v>0</v>
      </c>
      <c r="I38" s="1"/>
      <c r="J38" s="1"/>
      <c r="K38" s="1"/>
      <c r="L38" s="1"/>
      <c r="M38" s="1"/>
    </row>
    <row r="39" spans="1:13" ht="12.75" x14ac:dyDescent="0.2">
      <c r="A39" s="1"/>
      <c r="B39" s="1"/>
      <c r="C39" s="1"/>
      <c r="D39" s="1"/>
      <c r="E39" s="2" t="s">
        <v>17</v>
      </c>
      <c r="F39" s="1"/>
      <c r="G39" s="1"/>
      <c r="H39" s="5">
        <v>0</v>
      </c>
      <c r="I39" s="1"/>
      <c r="J39" s="1"/>
      <c r="K39" s="1"/>
      <c r="L39" s="1"/>
      <c r="M39" s="1"/>
    </row>
    <row r="40" spans="1:13" ht="12.75" x14ac:dyDescent="0.2">
      <c r="A40" s="1"/>
      <c r="B40" s="1"/>
      <c r="C40" s="1"/>
      <c r="D40" s="1"/>
      <c r="E40" s="2" t="s">
        <v>17</v>
      </c>
      <c r="F40" s="1"/>
      <c r="G40" s="1"/>
      <c r="H40" s="5">
        <v>0</v>
      </c>
      <c r="I40" s="1"/>
      <c r="J40" s="1"/>
      <c r="K40" s="1"/>
      <c r="L40" s="1"/>
      <c r="M40" s="1"/>
    </row>
    <row r="41" spans="1:13" ht="12.75" x14ac:dyDescent="0.2">
      <c r="A41" s="1"/>
      <c r="B41" s="1"/>
      <c r="C41" s="1"/>
      <c r="D41" s="1"/>
      <c r="E41" s="2" t="s">
        <v>17</v>
      </c>
      <c r="F41" s="1"/>
      <c r="G41" s="1"/>
      <c r="H41" s="5">
        <v>0</v>
      </c>
      <c r="I41" s="1"/>
      <c r="J41" s="1"/>
      <c r="K41" s="1"/>
      <c r="L41" s="1"/>
      <c r="M41" s="1"/>
    </row>
    <row r="42" spans="1:13" ht="12.75" x14ac:dyDescent="0.2">
      <c r="A42" s="1"/>
      <c r="B42" s="1"/>
      <c r="C42" s="1"/>
      <c r="D42" s="1"/>
      <c r="E42" s="2" t="s">
        <v>131</v>
      </c>
      <c r="F42" s="1"/>
      <c r="G42" s="1"/>
      <c r="H42" s="8">
        <v>2</v>
      </c>
      <c r="I42" s="2" t="s">
        <v>4</v>
      </c>
      <c r="J42" s="1" t="s">
        <v>101</v>
      </c>
      <c r="K42" s="1"/>
      <c r="L42" s="1" t="s">
        <v>179</v>
      </c>
      <c r="M42" s="1"/>
    </row>
    <row r="43" spans="1:13" ht="12.75" x14ac:dyDescent="0.2">
      <c r="A43" s="1"/>
      <c r="B43" s="1"/>
      <c r="C43" s="1"/>
      <c r="D43" s="1"/>
      <c r="E43" s="2" t="s">
        <v>132</v>
      </c>
      <c r="F43" s="1"/>
      <c r="G43" s="1"/>
      <c r="H43" s="8">
        <v>2</v>
      </c>
      <c r="I43" s="2" t="s">
        <v>4</v>
      </c>
      <c r="J43" s="1" t="s">
        <v>101</v>
      </c>
      <c r="K43" s="1"/>
      <c r="L43" s="1"/>
      <c r="M43" s="1"/>
    </row>
    <row r="44" spans="1:13" ht="12.75" x14ac:dyDescent="0.2">
      <c r="A44" s="1"/>
      <c r="B44" s="1"/>
      <c r="C44" s="1"/>
      <c r="D44" s="1"/>
      <c r="E44" s="2" t="s">
        <v>18</v>
      </c>
      <c r="F44" s="1"/>
      <c r="G44" s="1"/>
      <c r="H44" s="8">
        <v>2</v>
      </c>
      <c r="I44" s="2" t="s">
        <v>4</v>
      </c>
      <c r="J44" s="1" t="s">
        <v>101</v>
      </c>
      <c r="K44" s="1"/>
      <c r="L44" s="1"/>
      <c r="M44" s="1"/>
    </row>
    <row r="45" spans="1:13" ht="12.75" x14ac:dyDescent="0.2">
      <c r="A45" s="1"/>
      <c r="B45" s="1"/>
      <c r="C45" s="1"/>
      <c r="D45" s="1"/>
      <c r="E45" s="2" t="s">
        <v>19</v>
      </c>
      <c r="F45" s="1"/>
      <c r="G45" s="1"/>
      <c r="H45" s="8">
        <v>22</v>
      </c>
      <c r="I45" s="2" t="s">
        <v>4</v>
      </c>
      <c r="J45" s="1"/>
      <c r="K45" s="1"/>
      <c r="L45" s="1"/>
      <c r="M45" s="1"/>
    </row>
    <row r="46" spans="1:13" ht="12.75" x14ac:dyDescent="0.2">
      <c r="A46" s="1"/>
      <c r="B46" s="1"/>
      <c r="C46" s="1"/>
      <c r="D46" s="1"/>
      <c r="E46" s="2" t="s">
        <v>20</v>
      </c>
      <c r="F46" s="1"/>
      <c r="G46" s="1"/>
      <c r="H46" s="8">
        <v>20</v>
      </c>
      <c r="I46" s="2" t="s">
        <v>4</v>
      </c>
      <c r="J46" s="1" t="s">
        <v>167</v>
      </c>
      <c r="K46" s="1"/>
      <c r="L46" s="1"/>
      <c r="M46" s="1"/>
    </row>
    <row r="47" spans="1:13" ht="12.75" x14ac:dyDescent="0.2">
      <c r="A47" s="1"/>
      <c r="B47" s="1"/>
      <c r="C47" s="1"/>
      <c r="D47" s="1"/>
      <c r="E47" s="2" t="s">
        <v>156</v>
      </c>
      <c r="F47" s="1"/>
      <c r="G47" s="1"/>
      <c r="H47" s="8">
        <v>25</v>
      </c>
      <c r="I47" s="2" t="s">
        <v>4</v>
      </c>
      <c r="J47" s="1"/>
      <c r="K47" s="1"/>
      <c r="L47" s="1"/>
      <c r="M47" s="1"/>
    </row>
    <row r="48" spans="1:13" ht="12.75" x14ac:dyDescent="0.2">
      <c r="A48" s="1"/>
      <c r="B48" s="1"/>
      <c r="C48" s="1"/>
      <c r="D48" s="1"/>
      <c r="E48" s="2" t="s">
        <v>133</v>
      </c>
      <c r="F48" s="1"/>
      <c r="G48" s="1"/>
      <c r="H48" s="9">
        <v>0</v>
      </c>
      <c r="I48" s="1"/>
      <c r="J48" s="1"/>
      <c r="K48" s="1"/>
      <c r="L48" s="1"/>
      <c r="M48" s="1"/>
    </row>
    <row r="49" spans="1:13" ht="12.75" x14ac:dyDescent="0.2">
      <c r="A49" s="1"/>
      <c r="B49" s="1"/>
      <c r="C49" s="1"/>
      <c r="D49" s="1"/>
      <c r="E49" s="2" t="s">
        <v>134</v>
      </c>
      <c r="F49" s="1"/>
      <c r="G49" s="1"/>
      <c r="H49" s="8">
        <v>1</v>
      </c>
      <c r="I49" s="2" t="s">
        <v>4</v>
      </c>
      <c r="J49" s="1" t="s">
        <v>102</v>
      </c>
      <c r="K49" s="1"/>
      <c r="L49" s="1"/>
      <c r="M49" s="1"/>
    </row>
    <row r="50" spans="1:13" ht="12.75" x14ac:dyDescent="0.2">
      <c r="A50" s="1"/>
      <c r="B50" s="1"/>
      <c r="C50" s="1"/>
      <c r="D50" s="1"/>
      <c r="E50" s="2" t="s">
        <v>135</v>
      </c>
      <c r="F50" s="1"/>
      <c r="G50" s="1"/>
      <c r="H50" s="8">
        <v>6</v>
      </c>
      <c r="I50" s="2" t="s">
        <v>4</v>
      </c>
      <c r="J50" s="1" t="s">
        <v>102</v>
      </c>
      <c r="K50" s="1"/>
      <c r="L50" s="1"/>
      <c r="M50" s="1"/>
    </row>
    <row r="51" spans="1:13" ht="12.75" x14ac:dyDescent="0.2">
      <c r="A51" s="1"/>
      <c r="B51" s="1"/>
      <c r="C51" s="1"/>
      <c r="D51" s="1"/>
      <c r="E51" s="29"/>
      <c r="F51" s="1"/>
      <c r="G51" s="1"/>
      <c r="H51" s="1"/>
      <c r="I51" s="1"/>
      <c r="J51" s="1"/>
      <c r="K51" s="1"/>
      <c r="L51" s="1"/>
      <c r="M51" s="1"/>
    </row>
    <row r="52" spans="1:13" ht="12.75" x14ac:dyDescent="0.2">
      <c r="A52" s="1"/>
      <c r="B52" s="1"/>
      <c r="C52" s="1"/>
      <c r="D52" s="1"/>
      <c r="E52" s="2" t="s">
        <v>103</v>
      </c>
      <c r="F52" s="1"/>
      <c r="G52" s="1"/>
      <c r="H52" s="1"/>
      <c r="I52" s="1"/>
      <c r="J52" s="1"/>
      <c r="K52" s="1"/>
      <c r="L52" s="2" t="s">
        <v>180</v>
      </c>
      <c r="M52" s="1"/>
    </row>
    <row r="53" spans="1:13" ht="12.75" x14ac:dyDescent="0.2">
      <c r="A53" s="1"/>
      <c r="B53" s="1"/>
      <c r="C53" s="1"/>
      <c r="D53" s="1"/>
      <c r="E53" s="3"/>
      <c r="F53" s="1"/>
      <c r="G53" s="1"/>
      <c r="H53" s="1"/>
      <c r="I53" s="1"/>
      <c r="J53" s="1"/>
      <c r="K53" s="1"/>
      <c r="L53" s="1"/>
      <c r="M53" s="1"/>
    </row>
    <row r="54" spans="1:13" ht="12.75" x14ac:dyDescent="0.2">
      <c r="A54" s="2" t="s">
        <v>21</v>
      </c>
      <c r="B54" s="1"/>
      <c r="C54" s="1"/>
      <c r="D54" s="2" t="s">
        <v>136</v>
      </c>
      <c r="E54" s="3"/>
      <c r="F54" s="1"/>
      <c r="G54" s="2" t="s">
        <v>137</v>
      </c>
      <c r="H54" s="1"/>
      <c r="I54" s="1"/>
      <c r="J54" s="1"/>
      <c r="K54" s="1"/>
      <c r="L54" s="1"/>
      <c r="M54" s="1"/>
    </row>
    <row r="55" spans="1:13" ht="12.75" x14ac:dyDescent="0.2">
      <c r="A55" s="1"/>
      <c r="B55" s="1"/>
      <c r="C55" s="1"/>
      <c r="D55" s="1"/>
      <c r="E55" s="3"/>
      <c r="F55" s="1"/>
      <c r="G55" s="1"/>
      <c r="H55" s="1"/>
      <c r="I55" s="1"/>
      <c r="J55" s="1"/>
      <c r="K55" s="1"/>
      <c r="L55" s="1"/>
      <c r="M55" s="1"/>
    </row>
    <row r="56" spans="1:13" ht="12.75" x14ac:dyDescent="0.2">
      <c r="A56" s="2" t="s">
        <v>22</v>
      </c>
      <c r="B56" s="13">
        <f>H18</f>
        <v>260000</v>
      </c>
      <c r="C56" s="1"/>
      <c r="D56" s="2" t="s">
        <v>23</v>
      </c>
      <c r="E56" s="14">
        <f>H20/100</f>
        <v>0.05</v>
      </c>
      <c r="F56" s="1"/>
      <c r="G56" s="2" t="s">
        <v>24</v>
      </c>
      <c r="H56" s="17">
        <f>1-H57</f>
        <v>0.15000000000000002</v>
      </c>
      <c r="I56" s="13">
        <f>H56*B56</f>
        <v>39000.000000000007</v>
      </c>
      <c r="J56" s="1"/>
      <c r="K56" s="1"/>
      <c r="L56" s="1"/>
      <c r="M56" s="1"/>
    </row>
    <row r="57" spans="1:13" ht="12.75" x14ac:dyDescent="0.2">
      <c r="A57" s="2" t="s">
        <v>25</v>
      </c>
      <c r="B57" s="13">
        <f>H19</f>
        <v>52000</v>
      </c>
      <c r="C57" s="1"/>
      <c r="D57" s="2" t="s">
        <v>26</v>
      </c>
      <c r="E57" s="15">
        <f>H21</f>
        <v>20</v>
      </c>
      <c r="F57" s="1"/>
      <c r="G57" s="2" t="s">
        <v>27</v>
      </c>
      <c r="H57" s="17">
        <f>H22/100</f>
        <v>0.85</v>
      </c>
      <c r="I57" s="13">
        <f>(H57*B56)+(B59+B60)</f>
        <v>223600</v>
      </c>
      <c r="J57" s="1"/>
      <c r="K57" s="1"/>
      <c r="L57" s="1"/>
      <c r="M57" s="1"/>
    </row>
    <row r="58" spans="1:13" ht="12.75" x14ac:dyDescent="0.2">
      <c r="A58" s="2" t="s">
        <v>28</v>
      </c>
      <c r="B58" s="13">
        <f>B56-B57</f>
        <v>208000</v>
      </c>
      <c r="C58" s="1"/>
      <c r="D58" s="2" t="s">
        <v>29</v>
      </c>
      <c r="E58" s="16">
        <f>PMT((E56/12),(E57*12),-B58)</f>
        <v>1372.7079375706476</v>
      </c>
      <c r="F58" s="1"/>
      <c r="G58" s="2" t="s">
        <v>26</v>
      </c>
      <c r="H58" s="12">
        <f>H23</f>
        <v>27.5</v>
      </c>
      <c r="I58" s="1"/>
      <c r="J58" s="1"/>
      <c r="K58" s="1"/>
      <c r="L58" s="1"/>
      <c r="M58" s="1"/>
    </row>
    <row r="59" spans="1:13" ht="12.75" x14ac:dyDescent="0.2">
      <c r="A59" s="2" t="s">
        <v>30</v>
      </c>
      <c r="B59" s="13">
        <f>(H49/100)*B56</f>
        <v>2600</v>
      </c>
      <c r="C59" s="1"/>
      <c r="D59" s="2" t="s">
        <v>31</v>
      </c>
      <c r="E59" s="16">
        <f>E58*12</f>
        <v>16472.495250847773</v>
      </c>
      <c r="F59" s="1"/>
      <c r="G59" s="2" t="s">
        <v>32</v>
      </c>
      <c r="H59" s="13">
        <f>I57/H58</f>
        <v>8130.909090909091</v>
      </c>
      <c r="I59" s="1"/>
      <c r="J59" s="1"/>
      <c r="K59" s="1"/>
      <c r="L59" s="1"/>
      <c r="M59" s="1"/>
    </row>
    <row r="60" spans="1:13" ht="12.75" x14ac:dyDescent="0.2">
      <c r="A60" s="2" t="s">
        <v>33</v>
      </c>
      <c r="B60" s="13">
        <f>H48</f>
        <v>0</v>
      </c>
      <c r="C60" s="1"/>
      <c r="D60" s="1"/>
      <c r="E60" s="3"/>
      <c r="F60" s="1"/>
      <c r="G60" s="1"/>
      <c r="H60" s="1"/>
      <c r="I60" s="1"/>
      <c r="J60" s="1"/>
      <c r="K60" s="1"/>
      <c r="L60" s="1"/>
      <c r="M60" s="1"/>
    </row>
    <row r="61" spans="1:13" ht="12.75" x14ac:dyDescent="0.2">
      <c r="A61" s="1"/>
      <c r="B61" s="1"/>
      <c r="C61" s="1"/>
      <c r="D61" s="1"/>
      <c r="E61" s="3"/>
      <c r="F61" s="1"/>
      <c r="G61" s="1"/>
      <c r="H61" s="1"/>
      <c r="I61" s="1"/>
      <c r="J61" s="1"/>
      <c r="K61" s="1"/>
      <c r="L61" s="1"/>
      <c r="M61" s="1"/>
    </row>
    <row r="62" spans="1:13" ht="12.75" x14ac:dyDescent="0.2">
      <c r="A62" s="1"/>
      <c r="B62" s="1"/>
      <c r="C62" s="1"/>
      <c r="D62" s="1"/>
      <c r="E62" s="3"/>
      <c r="F62" s="1"/>
      <c r="G62" s="1"/>
      <c r="H62" s="1"/>
      <c r="I62" s="1"/>
      <c r="J62" s="1"/>
      <c r="K62" s="1"/>
      <c r="L62" s="1"/>
      <c r="M62" s="1"/>
    </row>
    <row r="63" spans="1:13" ht="12.75" x14ac:dyDescent="0.2">
      <c r="A63" s="2" t="s">
        <v>34</v>
      </c>
      <c r="B63" s="1"/>
      <c r="C63" s="1"/>
      <c r="D63" s="30" t="s">
        <v>116</v>
      </c>
      <c r="E63" s="31" t="s">
        <v>117</v>
      </c>
      <c r="F63" s="30" t="s">
        <v>118</v>
      </c>
      <c r="G63" s="30" t="s">
        <v>119</v>
      </c>
      <c r="H63" s="30" t="s">
        <v>120</v>
      </c>
      <c r="I63" s="30" t="s">
        <v>121</v>
      </c>
      <c r="J63" s="30" t="s">
        <v>122</v>
      </c>
      <c r="K63" s="30" t="s">
        <v>123</v>
      </c>
      <c r="L63" s="30" t="s">
        <v>124</v>
      </c>
      <c r="M63" s="30" t="s">
        <v>125</v>
      </c>
    </row>
    <row r="64" spans="1:13" ht="12.75" x14ac:dyDescent="0.2">
      <c r="A64" s="1"/>
      <c r="B64" s="1"/>
      <c r="C64" s="1"/>
      <c r="D64" s="1"/>
      <c r="E64" s="3"/>
      <c r="F64" s="1"/>
      <c r="G64" s="1"/>
      <c r="H64" s="1"/>
      <c r="I64" s="1"/>
      <c r="J64" s="1"/>
      <c r="K64" s="1"/>
      <c r="L64" s="1"/>
      <c r="M64" s="1"/>
    </row>
    <row r="65" spans="1:13" ht="12.75" x14ac:dyDescent="0.2">
      <c r="A65" s="2" t="s">
        <v>127</v>
      </c>
      <c r="B65" s="1"/>
      <c r="C65" s="18">
        <f>H42/100</f>
        <v>0.02</v>
      </c>
      <c r="D65" s="14"/>
      <c r="E65" s="14">
        <f>C65</f>
        <v>0.02</v>
      </c>
      <c r="F65" s="14">
        <f>C65</f>
        <v>0.02</v>
      </c>
      <c r="G65" s="14">
        <f>C65</f>
        <v>0.02</v>
      </c>
      <c r="H65" s="14">
        <f>C65</f>
        <v>0.02</v>
      </c>
      <c r="I65" s="14">
        <f>C65</f>
        <v>0.02</v>
      </c>
      <c r="J65" s="14">
        <f>C65</f>
        <v>0.02</v>
      </c>
      <c r="K65" s="14">
        <f>C65</f>
        <v>0.02</v>
      </c>
      <c r="L65" s="14">
        <f>C65</f>
        <v>0.02</v>
      </c>
      <c r="M65" s="14">
        <f>C65</f>
        <v>0.02</v>
      </c>
    </row>
    <row r="66" spans="1:13" ht="12.75" x14ac:dyDescent="0.2">
      <c r="A66" s="2" t="s">
        <v>128</v>
      </c>
      <c r="B66" s="1"/>
      <c r="C66" s="1"/>
      <c r="D66" s="16">
        <f>H24</f>
        <v>41040</v>
      </c>
      <c r="E66" s="16">
        <f t="shared" ref="E66:M66" si="2">(1+E65)*D66</f>
        <v>41860.800000000003</v>
      </c>
      <c r="F66" s="16">
        <f t="shared" si="2"/>
        <v>42698.016000000003</v>
      </c>
      <c r="G66" s="16">
        <f t="shared" si="2"/>
        <v>43551.976320000002</v>
      </c>
      <c r="H66" s="16">
        <f t="shared" si="2"/>
        <v>44423.015846400005</v>
      </c>
      <c r="I66" s="16">
        <f t="shared" si="2"/>
        <v>45311.476163328007</v>
      </c>
      <c r="J66" s="16">
        <f t="shared" si="2"/>
        <v>46217.705686594571</v>
      </c>
      <c r="K66" s="16">
        <f t="shared" si="2"/>
        <v>47142.05980032646</v>
      </c>
      <c r="L66" s="16">
        <f t="shared" si="2"/>
        <v>48084.900996332988</v>
      </c>
      <c r="M66" s="16">
        <f t="shared" si="2"/>
        <v>49046.59901625965</v>
      </c>
    </row>
    <row r="67" spans="1:13" ht="12.75" x14ac:dyDescent="0.2">
      <c r="A67" s="2" t="s">
        <v>129</v>
      </c>
      <c r="B67" s="1"/>
      <c r="C67" s="18">
        <f>H25/100</f>
        <v>0.05</v>
      </c>
      <c r="D67" s="16">
        <f>C67*D66</f>
        <v>2052</v>
      </c>
      <c r="E67" s="16">
        <f>C67*E66</f>
        <v>2093.0400000000004</v>
      </c>
      <c r="F67" s="16">
        <f>C67*F66</f>
        <v>2134.9008000000003</v>
      </c>
      <c r="G67" s="16">
        <f>C67*G66</f>
        <v>2177.5988160000002</v>
      </c>
      <c r="H67" s="16">
        <f>C67*H66</f>
        <v>2221.1507923200002</v>
      </c>
      <c r="I67" s="16">
        <f>C67*I66</f>
        <v>2265.5738081664003</v>
      </c>
      <c r="J67" s="16">
        <f>C67*J66</f>
        <v>2310.8852843297286</v>
      </c>
      <c r="K67" s="16">
        <f>C67*K66</f>
        <v>2357.102990016323</v>
      </c>
      <c r="L67" s="16">
        <f>C67*L66</f>
        <v>2404.2450498166495</v>
      </c>
      <c r="M67" s="16">
        <f>C67*M66</f>
        <v>2452.3299508129826</v>
      </c>
    </row>
    <row r="68" spans="1:13" ht="12.75" x14ac:dyDescent="0.2">
      <c r="A68" s="2" t="s">
        <v>35</v>
      </c>
      <c r="B68" s="1"/>
      <c r="C68" s="1"/>
      <c r="D68" s="16">
        <f t="shared" ref="D68:M68" si="3">D66-D67</f>
        <v>38988</v>
      </c>
      <c r="E68" s="16">
        <f t="shared" si="3"/>
        <v>39767.760000000002</v>
      </c>
      <c r="F68" s="16">
        <f t="shared" si="3"/>
        <v>40563.1152</v>
      </c>
      <c r="G68" s="16">
        <f t="shared" si="3"/>
        <v>41374.377504000004</v>
      </c>
      <c r="H68" s="16">
        <f t="shared" si="3"/>
        <v>42201.865054080008</v>
      </c>
      <c r="I68" s="16">
        <f t="shared" si="3"/>
        <v>43045.902355161605</v>
      </c>
      <c r="J68" s="16">
        <f t="shared" si="3"/>
        <v>43906.820402264842</v>
      </c>
      <c r="K68" s="16">
        <f t="shared" si="3"/>
        <v>44784.956810310134</v>
      </c>
      <c r="L68" s="16">
        <f t="shared" si="3"/>
        <v>45680.655946516337</v>
      </c>
      <c r="M68" s="16">
        <f t="shared" si="3"/>
        <v>46594.269065446664</v>
      </c>
    </row>
    <row r="69" spans="1:13" ht="12.75" x14ac:dyDescent="0.2">
      <c r="A69" s="1" t="s">
        <v>138</v>
      </c>
      <c r="B69" s="1"/>
      <c r="C69" s="1"/>
      <c r="D69" s="3"/>
      <c r="E69" s="3"/>
      <c r="F69" s="3"/>
      <c r="G69" s="3"/>
      <c r="H69" s="3"/>
      <c r="I69" s="3"/>
      <c r="J69" s="3"/>
      <c r="K69" s="3"/>
      <c r="L69" s="3"/>
      <c r="M69" s="3"/>
    </row>
    <row r="70" spans="1:13" ht="12.75" x14ac:dyDescent="0.2">
      <c r="A70" s="1"/>
      <c r="B70" s="1"/>
      <c r="C70" s="1"/>
      <c r="D70" s="3"/>
      <c r="E70" s="3"/>
      <c r="F70" s="3"/>
      <c r="G70" s="3"/>
      <c r="H70" s="3"/>
      <c r="I70" s="3"/>
      <c r="J70" s="3"/>
      <c r="K70" s="3"/>
      <c r="L70" s="3"/>
      <c r="M70" s="3"/>
    </row>
    <row r="71" spans="1:13" ht="12.75" x14ac:dyDescent="0.2">
      <c r="A71" s="2" t="s">
        <v>36</v>
      </c>
      <c r="B71" s="1"/>
      <c r="C71" s="1"/>
      <c r="D71" s="31" t="s">
        <v>142</v>
      </c>
      <c r="E71" s="31" t="s">
        <v>117</v>
      </c>
      <c r="F71" s="31" t="s">
        <v>118</v>
      </c>
      <c r="G71" s="31" t="s">
        <v>119</v>
      </c>
      <c r="H71" s="31" t="s">
        <v>120</v>
      </c>
      <c r="I71" s="31" t="s">
        <v>121</v>
      </c>
      <c r="J71" s="31" t="s">
        <v>122</v>
      </c>
      <c r="K71" s="31" t="s">
        <v>123</v>
      </c>
      <c r="L71" s="31" t="s">
        <v>124</v>
      </c>
      <c r="M71" s="31" t="s">
        <v>125</v>
      </c>
    </row>
    <row r="72" spans="1:13" ht="12.75" x14ac:dyDescent="0.2">
      <c r="A72" s="1"/>
      <c r="B72" s="1"/>
      <c r="C72" s="1"/>
      <c r="D72" s="3"/>
      <c r="E72" s="3"/>
      <c r="F72" s="3"/>
      <c r="G72" s="3"/>
      <c r="H72" s="3"/>
      <c r="I72" s="3"/>
      <c r="J72" s="3"/>
      <c r="K72" s="3"/>
      <c r="L72" s="3"/>
      <c r="M72" s="3"/>
    </row>
    <row r="73" spans="1:13" ht="12.75" x14ac:dyDescent="0.2">
      <c r="A73" s="2" t="s">
        <v>126</v>
      </c>
      <c r="B73" s="1"/>
      <c r="C73" s="18">
        <f>H43/100</f>
        <v>0.02</v>
      </c>
      <c r="D73" s="14"/>
      <c r="E73" s="14">
        <f>C73</f>
        <v>0.02</v>
      </c>
      <c r="F73" s="14">
        <f>C73</f>
        <v>0.02</v>
      </c>
      <c r="G73" s="14">
        <f>C73</f>
        <v>0.02</v>
      </c>
      <c r="H73" s="14">
        <f>C73</f>
        <v>0.02</v>
      </c>
      <c r="I73" s="14">
        <f>C73</f>
        <v>0.02</v>
      </c>
      <c r="J73" s="14">
        <f>C73</f>
        <v>0.02</v>
      </c>
      <c r="K73" s="14">
        <f>C73</f>
        <v>0.02</v>
      </c>
      <c r="L73" s="14">
        <f>C73</f>
        <v>0.02</v>
      </c>
      <c r="M73" s="14">
        <f>C73</f>
        <v>0.02</v>
      </c>
    </row>
    <row r="74" spans="1:13" ht="12.75" x14ac:dyDescent="0.2">
      <c r="A74" s="2" t="s">
        <v>98</v>
      </c>
      <c r="B74" s="1"/>
      <c r="C74" s="1"/>
      <c r="D74" s="16">
        <f t="shared" ref="D74:D80" si="4">H27</f>
        <v>1992</v>
      </c>
      <c r="E74" s="16">
        <f t="shared" ref="E74:M74" si="5">(1+E73)*D74</f>
        <v>2031.8400000000001</v>
      </c>
      <c r="F74" s="16">
        <f t="shared" si="5"/>
        <v>2072.4768000000004</v>
      </c>
      <c r="G74" s="16">
        <f t="shared" si="5"/>
        <v>2113.9263360000004</v>
      </c>
      <c r="H74" s="16">
        <f t="shared" si="5"/>
        <v>2156.2048627200006</v>
      </c>
      <c r="I74" s="16">
        <f t="shared" si="5"/>
        <v>2199.3289599744007</v>
      </c>
      <c r="J74" s="16">
        <f t="shared" si="5"/>
        <v>2243.3155391738887</v>
      </c>
      <c r="K74" s="16">
        <f t="shared" si="5"/>
        <v>2288.1818499573665</v>
      </c>
      <c r="L74" s="16">
        <f t="shared" si="5"/>
        <v>2333.9454869565138</v>
      </c>
      <c r="M74" s="16">
        <f t="shared" si="5"/>
        <v>2380.624396695644</v>
      </c>
    </row>
    <row r="75" spans="1:13" ht="12.75" x14ac:dyDescent="0.2">
      <c r="A75" s="2" t="s">
        <v>37</v>
      </c>
      <c r="B75" s="1"/>
      <c r="C75" s="1"/>
      <c r="D75" s="16">
        <f t="shared" si="4"/>
        <v>1754</v>
      </c>
      <c r="E75" s="16">
        <f t="shared" ref="E75:M75" si="6">(1+E73)*D75</f>
        <v>1789.08</v>
      </c>
      <c r="F75" s="16">
        <f t="shared" si="6"/>
        <v>1824.8616</v>
      </c>
      <c r="G75" s="16">
        <f t="shared" si="6"/>
        <v>1861.3588319999999</v>
      </c>
      <c r="H75" s="16">
        <f t="shared" si="6"/>
        <v>1898.5860086399998</v>
      </c>
      <c r="I75" s="16">
        <f t="shared" si="6"/>
        <v>1936.5577288128</v>
      </c>
      <c r="J75" s="16">
        <f t="shared" si="6"/>
        <v>1975.2888833890561</v>
      </c>
      <c r="K75" s="16">
        <f t="shared" si="6"/>
        <v>2014.7946610568372</v>
      </c>
      <c r="L75" s="16">
        <f t="shared" si="6"/>
        <v>2055.0905542779738</v>
      </c>
      <c r="M75" s="16">
        <f t="shared" si="6"/>
        <v>2096.1923653635331</v>
      </c>
    </row>
    <row r="76" spans="1:13" ht="12.75" x14ac:dyDescent="0.2">
      <c r="A76" s="2" t="s">
        <v>38</v>
      </c>
      <c r="B76" s="1"/>
      <c r="C76" s="1"/>
      <c r="D76" s="16">
        <f t="shared" si="4"/>
        <v>1620</v>
      </c>
      <c r="E76" s="16">
        <f t="shared" ref="E76:M76" si="7">(1+E73)*D76</f>
        <v>1652.4</v>
      </c>
      <c r="F76" s="16">
        <f t="shared" si="7"/>
        <v>1685.4480000000001</v>
      </c>
      <c r="G76" s="16">
        <f t="shared" si="7"/>
        <v>1719.15696</v>
      </c>
      <c r="H76" s="16">
        <f t="shared" si="7"/>
        <v>1753.5400992</v>
      </c>
      <c r="I76" s="16">
        <f t="shared" si="7"/>
        <v>1788.6109011840001</v>
      </c>
      <c r="J76" s="16">
        <f t="shared" si="7"/>
        <v>1824.3831192076802</v>
      </c>
      <c r="K76" s="16">
        <f t="shared" si="7"/>
        <v>1860.870781591834</v>
      </c>
      <c r="L76" s="16">
        <f t="shared" si="7"/>
        <v>1898.0881972236707</v>
      </c>
      <c r="M76" s="16">
        <f t="shared" si="7"/>
        <v>1936.0499611681441</v>
      </c>
    </row>
    <row r="77" spans="1:13" ht="12.75" x14ac:dyDescent="0.2">
      <c r="A77" s="2" t="s">
        <v>39</v>
      </c>
      <c r="B77" s="1"/>
      <c r="C77" s="1"/>
      <c r="D77" s="16">
        <f t="shared" si="4"/>
        <v>0</v>
      </c>
      <c r="E77" s="16">
        <f t="shared" ref="E77:M77" si="8">(1+E73)*D77</f>
        <v>0</v>
      </c>
      <c r="F77" s="16">
        <f t="shared" si="8"/>
        <v>0</v>
      </c>
      <c r="G77" s="16">
        <f t="shared" si="8"/>
        <v>0</v>
      </c>
      <c r="H77" s="16">
        <f t="shared" si="8"/>
        <v>0</v>
      </c>
      <c r="I77" s="16">
        <f t="shared" si="8"/>
        <v>0</v>
      </c>
      <c r="J77" s="16">
        <f t="shared" si="8"/>
        <v>0</v>
      </c>
      <c r="K77" s="16">
        <f t="shared" si="8"/>
        <v>0</v>
      </c>
      <c r="L77" s="16">
        <f t="shared" si="8"/>
        <v>0</v>
      </c>
      <c r="M77" s="16">
        <f t="shared" si="8"/>
        <v>0</v>
      </c>
    </row>
    <row r="78" spans="1:13" ht="12.75" x14ac:dyDescent="0.2">
      <c r="A78" s="2" t="s">
        <v>40</v>
      </c>
      <c r="B78" s="1"/>
      <c r="C78" s="1"/>
      <c r="D78" s="16">
        <f t="shared" si="4"/>
        <v>7140</v>
      </c>
      <c r="E78" s="16">
        <f t="shared" ref="E78:M78" si="9">(1+E73)*D78</f>
        <v>7282.8</v>
      </c>
      <c r="F78" s="16">
        <f t="shared" si="9"/>
        <v>7428.4560000000001</v>
      </c>
      <c r="G78" s="16">
        <f t="shared" si="9"/>
        <v>7577.0251200000002</v>
      </c>
      <c r="H78" s="16">
        <f t="shared" si="9"/>
        <v>7728.5656224000004</v>
      </c>
      <c r="I78" s="16">
        <f t="shared" si="9"/>
        <v>7883.1369348480002</v>
      </c>
      <c r="J78" s="16">
        <f t="shared" si="9"/>
        <v>8040.7996735449606</v>
      </c>
      <c r="K78" s="16">
        <f t="shared" si="9"/>
        <v>8201.6156670158598</v>
      </c>
      <c r="L78" s="16">
        <f t="shared" si="9"/>
        <v>8365.6479803561779</v>
      </c>
      <c r="M78" s="16">
        <f t="shared" si="9"/>
        <v>8532.9609399633009</v>
      </c>
    </row>
    <row r="79" spans="1:13" ht="12.75" x14ac:dyDescent="0.2">
      <c r="A79" s="2" t="s">
        <v>41</v>
      </c>
      <c r="B79" s="1"/>
      <c r="C79" s="1"/>
      <c r="D79" s="16">
        <f t="shared" si="4"/>
        <v>650</v>
      </c>
      <c r="E79" s="16">
        <f t="shared" ref="E79:M79" si="10">(1+E73)*D79</f>
        <v>663</v>
      </c>
      <c r="F79" s="16">
        <f t="shared" si="10"/>
        <v>676.26</v>
      </c>
      <c r="G79" s="16">
        <f t="shared" si="10"/>
        <v>689.78520000000003</v>
      </c>
      <c r="H79" s="16">
        <f t="shared" si="10"/>
        <v>703.58090400000003</v>
      </c>
      <c r="I79" s="16">
        <f t="shared" si="10"/>
        <v>717.65252208000004</v>
      </c>
      <c r="J79" s="16">
        <f t="shared" si="10"/>
        <v>732.00557252160002</v>
      </c>
      <c r="K79" s="16">
        <f t="shared" si="10"/>
        <v>746.64568397203197</v>
      </c>
      <c r="L79" s="16">
        <f t="shared" si="10"/>
        <v>761.57859765147259</v>
      </c>
      <c r="M79" s="16">
        <f t="shared" si="10"/>
        <v>776.81016960450211</v>
      </c>
    </row>
    <row r="80" spans="1:13" ht="12.75" x14ac:dyDescent="0.2">
      <c r="A80" s="2" t="s">
        <v>139</v>
      </c>
      <c r="B80" s="1"/>
      <c r="C80" s="1"/>
      <c r="D80" s="16">
        <f t="shared" si="4"/>
        <v>0</v>
      </c>
      <c r="E80" s="16">
        <f t="shared" ref="E80:M80" si="11">(1+E73)*D80</f>
        <v>0</v>
      </c>
      <c r="F80" s="16">
        <f t="shared" si="11"/>
        <v>0</v>
      </c>
      <c r="G80" s="16">
        <f t="shared" si="11"/>
        <v>0</v>
      </c>
      <c r="H80" s="16">
        <f t="shared" si="11"/>
        <v>0</v>
      </c>
      <c r="I80" s="16">
        <f t="shared" si="11"/>
        <v>0</v>
      </c>
      <c r="J80" s="16">
        <f t="shared" si="11"/>
        <v>0</v>
      </c>
      <c r="K80" s="16">
        <f t="shared" si="11"/>
        <v>0</v>
      </c>
      <c r="L80" s="16">
        <f t="shared" si="11"/>
        <v>0</v>
      </c>
      <c r="M80" s="16">
        <f t="shared" si="11"/>
        <v>0</v>
      </c>
    </row>
    <row r="81" spans="1:13" ht="12.75" x14ac:dyDescent="0.2">
      <c r="A81" s="2" t="s">
        <v>42</v>
      </c>
      <c r="B81" s="1"/>
      <c r="C81" s="18">
        <f>H34/100</f>
        <v>0.08</v>
      </c>
      <c r="D81" s="16">
        <f>C81*D68</f>
        <v>3119.04</v>
      </c>
      <c r="E81" s="16">
        <f>C81*E68</f>
        <v>3181.4208000000003</v>
      </c>
      <c r="F81" s="16">
        <f>C81*F68</f>
        <v>3245.0492159999999</v>
      </c>
      <c r="G81" s="16">
        <f>C81*G68</f>
        <v>3309.9502003200005</v>
      </c>
      <c r="H81" s="16">
        <f>C81*H68</f>
        <v>3376.1492043264006</v>
      </c>
      <c r="I81" s="16">
        <f>C81*I68</f>
        <v>3443.6721884129283</v>
      </c>
      <c r="J81" s="16">
        <f>C81*J68</f>
        <v>3512.5456321811876</v>
      </c>
      <c r="K81" s="16">
        <f>C81*K68</f>
        <v>3582.7965448248106</v>
      </c>
      <c r="L81" s="16">
        <f>C81*L68</f>
        <v>3654.4524757213071</v>
      </c>
      <c r="M81" s="16">
        <f>C81*M68</f>
        <v>3727.5415252357334</v>
      </c>
    </row>
    <row r="82" spans="1:13" ht="12.75" x14ac:dyDescent="0.2">
      <c r="A82" s="2" t="s">
        <v>43</v>
      </c>
      <c r="B82" s="1"/>
      <c r="C82" s="18">
        <f>H35/100</f>
        <v>0.1</v>
      </c>
      <c r="D82" s="16">
        <f>C82*D68</f>
        <v>3898.8</v>
      </c>
      <c r="E82" s="16">
        <f>C82*E68</f>
        <v>3976.7760000000003</v>
      </c>
      <c r="F82" s="16">
        <f>C82*F68</f>
        <v>4056.3115200000002</v>
      </c>
      <c r="G82" s="16">
        <f>C82*G68</f>
        <v>4137.4377504000004</v>
      </c>
      <c r="H82" s="16">
        <f>C82*H68</f>
        <v>4220.1865054080008</v>
      </c>
      <c r="I82" s="16">
        <f>C82*I68</f>
        <v>4304.5902355161606</v>
      </c>
      <c r="J82" s="16">
        <f>C82*J68</f>
        <v>4390.6820402264848</v>
      </c>
      <c r="K82" s="16">
        <f>C82*K68</f>
        <v>4478.4956810310132</v>
      </c>
      <c r="L82" s="16">
        <f>C82*L68</f>
        <v>4568.0655946516335</v>
      </c>
      <c r="M82" s="16">
        <f>C82*M68</f>
        <v>4659.426906544667</v>
      </c>
    </row>
    <row r="83" spans="1:13" ht="12.75" x14ac:dyDescent="0.2">
      <c r="A83" s="2" t="s">
        <v>44</v>
      </c>
      <c r="B83" s="1"/>
      <c r="C83" s="1"/>
      <c r="D83" s="16">
        <f>H36</f>
        <v>0</v>
      </c>
      <c r="E83" s="16">
        <f t="shared" ref="E83:M83" si="12">(1+E73)*D83</f>
        <v>0</v>
      </c>
      <c r="F83" s="16">
        <f t="shared" si="12"/>
        <v>0</v>
      </c>
      <c r="G83" s="16">
        <f t="shared" si="12"/>
        <v>0</v>
      </c>
      <c r="H83" s="16">
        <f t="shared" si="12"/>
        <v>0</v>
      </c>
      <c r="I83" s="16">
        <f t="shared" si="12"/>
        <v>0</v>
      </c>
      <c r="J83" s="16">
        <f t="shared" si="12"/>
        <v>0</v>
      </c>
      <c r="K83" s="16">
        <f t="shared" si="12"/>
        <v>0</v>
      </c>
      <c r="L83" s="16">
        <f t="shared" si="12"/>
        <v>0</v>
      </c>
      <c r="M83" s="16">
        <f t="shared" si="12"/>
        <v>0</v>
      </c>
    </row>
    <row r="84" spans="1:13" ht="12.75" x14ac:dyDescent="0.2">
      <c r="A84" s="2" t="s">
        <v>45</v>
      </c>
      <c r="B84" s="1"/>
      <c r="C84" s="1"/>
      <c r="D84" s="16">
        <f>H37</f>
        <v>0</v>
      </c>
      <c r="E84" s="16">
        <f t="shared" ref="E84:M84" si="13">(1+E73)*D84</f>
        <v>0</v>
      </c>
      <c r="F84" s="16">
        <f t="shared" si="13"/>
        <v>0</v>
      </c>
      <c r="G84" s="16">
        <f t="shared" si="13"/>
        <v>0</v>
      </c>
      <c r="H84" s="16">
        <f t="shared" si="13"/>
        <v>0</v>
      </c>
      <c r="I84" s="16">
        <f t="shared" si="13"/>
        <v>0</v>
      </c>
      <c r="J84" s="16">
        <f t="shared" si="13"/>
        <v>0</v>
      </c>
      <c r="K84" s="16">
        <f t="shared" si="13"/>
        <v>0</v>
      </c>
      <c r="L84" s="16">
        <f t="shared" si="13"/>
        <v>0</v>
      </c>
      <c r="M84" s="16">
        <f t="shared" si="13"/>
        <v>0</v>
      </c>
    </row>
    <row r="85" spans="1:13" ht="12.75" x14ac:dyDescent="0.2">
      <c r="A85" s="2" t="s">
        <v>46</v>
      </c>
      <c r="B85" s="1"/>
      <c r="C85" s="1"/>
      <c r="D85" s="16">
        <f>H38</f>
        <v>0</v>
      </c>
      <c r="E85" s="16">
        <f t="shared" ref="E85:M85" si="14">(1+E73)*D85</f>
        <v>0</v>
      </c>
      <c r="F85" s="16">
        <f t="shared" si="14"/>
        <v>0</v>
      </c>
      <c r="G85" s="16">
        <f t="shared" si="14"/>
        <v>0</v>
      </c>
      <c r="H85" s="16">
        <f t="shared" si="14"/>
        <v>0</v>
      </c>
      <c r="I85" s="16">
        <f t="shared" si="14"/>
        <v>0</v>
      </c>
      <c r="J85" s="16">
        <f t="shared" si="14"/>
        <v>0</v>
      </c>
      <c r="K85" s="16">
        <f t="shared" si="14"/>
        <v>0</v>
      </c>
      <c r="L85" s="16">
        <f t="shared" si="14"/>
        <v>0</v>
      </c>
      <c r="M85" s="16">
        <f t="shared" si="14"/>
        <v>0</v>
      </c>
    </row>
    <row r="86" spans="1:13" ht="12.75" x14ac:dyDescent="0.2">
      <c r="A86" s="2" t="s">
        <v>46</v>
      </c>
      <c r="B86" s="1"/>
      <c r="C86" s="1"/>
      <c r="D86" s="16">
        <f>H40</f>
        <v>0</v>
      </c>
      <c r="E86" s="16">
        <f t="shared" ref="E86:M86" si="15">(1+E73)*D86</f>
        <v>0</v>
      </c>
      <c r="F86" s="16">
        <f t="shared" si="15"/>
        <v>0</v>
      </c>
      <c r="G86" s="16">
        <f t="shared" si="15"/>
        <v>0</v>
      </c>
      <c r="H86" s="16">
        <f t="shared" si="15"/>
        <v>0</v>
      </c>
      <c r="I86" s="16">
        <f t="shared" si="15"/>
        <v>0</v>
      </c>
      <c r="J86" s="16">
        <f t="shared" si="15"/>
        <v>0</v>
      </c>
      <c r="K86" s="16">
        <f t="shared" si="15"/>
        <v>0</v>
      </c>
      <c r="L86" s="16">
        <f t="shared" si="15"/>
        <v>0</v>
      </c>
      <c r="M86" s="16">
        <f t="shared" si="15"/>
        <v>0</v>
      </c>
    </row>
    <row r="87" spans="1:13" ht="12.75" x14ac:dyDescent="0.2">
      <c r="A87" s="2" t="s">
        <v>46</v>
      </c>
      <c r="B87" s="1"/>
      <c r="C87" s="1"/>
      <c r="D87" s="16">
        <f>H41</f>
        <v>0</v>
      </c>
      <c r="E87" s="16">
        <f t="shared" ref="E87:M87" si="16">(1+E73)*D87</f>
        <v>0</v>
      </c>
      <c r="F87" s="16">
        <f t="shared" si="16"/>
        <v>0</v>
      </c>
      <c r="G87" s="16">
        <f t="shared" si="16"/>
        <v>0</v>
      </c>
      <c r="H87" s="16">
        <f t="shared" si="16"/>
        <v>0</v>
      </c>
      <c r="I87" s="16">
        <f t="shared" si="16"/>
        <v>0</v>
      </c>
      <c r="J87" s="16">
        <f t="shared" si="16"/>
        <v>0</v>
      </c>
      <c r="K87" s="16">
        <f t="shared" si="16"/>
        <v>0</v>
      </c>
      <c r="L87" s="16">
        <f t="shared" si="16"/>
        <v>0</v>
      </c>
      <c r="M87" s="16">
        <f t="shared" si="16"/>
        <v>0</v>
      </c>
    </row>
    <row r="88" spans="1:13" ht="12.75" x14ac:dyDescent="0.2">
      <c r="A88" s="2" t="s">
        <v>47</v>
      </c>
      <c r="B88" s="1"/>
      <c r="C88" s="1"/>
      <c r="D88" s="16">
        <f t="shared" ref="D88:M88" si="17">SUM(D74:D87)</f>
        <v>20173.84</v>
      </c>
      <c r="E88" s="16">
        <f t="shared" si="17"/>
        <v>20577.316800000001</v>
      </c>
      <c r="F88" s="16">
        <f t="shared" si="17"/>
        <v>20988.863136</v>
      </c>
      <c r="G88" s="16">
        <f t="shared" si="17"/>
        <v>21408.640398720003</v>
      </c>
      <c r="H88" s="16">
        <f t="shared" si="17"/>
        <v>21836.813206694405</v>
      </c>
      <c r="I88" s="16">
        <f t="shared" si="17"/>
        <v>22273.549470828289</v>
      </c>
      <c r="J88" s="16">
        <f t="shared" si="17"/>
        <v>22719.020460244861</v>
      </c>
      <c r="K88" s="16">
        <f t="shared" si="17"/>
        <v>23173.400869449757</v>
      </c>
      <c r="L88" s="16">
        <f t="shared" si="17"/>
        <v>23636.868886838751</v>
      </c>
      <c r="M88" s="16">
        <f t="shared" si="17"/>
        <v>24109.606264575526</v>
      </c>
    </row>
    <row r="89" spans="1:13" ht="12.75" x14ac:dyDescent="0.2">
      <c r="A89" s="2" t="s">
        <v>140</v>
      </c>
      <c r="B89" s="1"/>
      <c r="C89" s="1"/>
      <c r="D89" s="14">
        <f t="shared" ref="D89:M89" si="18">D88/D68</f>
        <v>0.5174371601518416</v>
      </c>
      <c r="E89" s="14">
        <f t="shared" si="18"/>
        <v>0.5174371601518416</v>
      </c>
      <c r="F89" s="14">
        <f t="shared" si="18"/>
        <v>0.5174371601518416</v>
      </c>
      <c r="G89" s="14">
        <f t="shared" si="18"/>
        <v>0.5174371601518416</v>
      </c>
      <c r="H89" s="14">
        <f t="shared" si="18"/>
        <v>0.5174371601518416</v>
      </c>
      <c r="I89" s="14">
        <f t="shared" si="18"/>
        <v>0.5174371601518416</v>
      </c>
      <c r="J89" s="14">
        <f t="shared" si="18"/>
        <v>0.5174371601518416</v>
      </c>
      <c r="K89" s="14">
        <f t="shared" si="18"/>
        <v>0.51743716015184171</v>
      </c>
      <c r="L89" s="14">
        <f t="shared" si="18"/>
        <v>0.5174371601518416</v>
      </c>
      <c r="M89" s="14">
        <f t="shared" si="18"/>
        <v>0.5174371601518416</v>
      </c>
    </row>
    <row r="90" spans="1:13" ht="12.75" x14ac:dyDescent="0.2">
      <c r="A90" s="1"/>
      <c r="B90" s="1"/>
      <c r="C90" s="1"/>
      <c r="D90" s="3"/>
      <c r="E90" s="3"/>
      <c r="F90" s="3"/>
      <c r="G90" s="3"/>
      <c r="H90" s="3"/>
      <c r="I90" s="3"/>
      <c r="J90" s="3"/>
      <c r="K90" s="3"/>
      <c r="L90" s="3"/>
      <c r="M90" s="3"/>
    </row>
    <row r="91" spans="1:13" ht="12.75" x14ac:dyDescent="0.2">
      <c r="A91" s="1"/>
      <c r="B91" s="1"/>
      <c r="C91" s="1"/>
      <c r="D91" s="3"/>
      <c r="E91" s="3"/>
      <c r="F91" s="3"/>
      <c r="G91" s="3"/>
      <c r="H91" s="3"/>
      <c r="I91" s="3"/>
      <c r="J91" s="3"/>
      <c r="K91" s="3"/>
      <c r="L91" s="3"/>
      <c r="M91" s="3"/>
    </row>
    <row r="92" spans="1:13" ht="12.75" x14ac:dyDescent="0.2">
      <c r="A92" s="2" t="s">
        <v>48</v>
      </c>
      <c r="B92" s="1"/>
      <c r="C92" s="1"/>
      <c r="D92" s="16">
        <f t="shared" ref="D92:M92" si="19">D68-D88</f>
        <v>18814.16</v>
      </c>
      <c r="E92" s="16">
        <f t="shared" si="19"/>
        <v>19190.443200000002</v>
      </c>
      <c r="F92" s="16">
        <f t="shared" si="19"/>
        <v>19574.252064</v>
      </c>
      <c r="G92" s="16">
        <f t="shared" si="19"/>
        <v>19965.737105280001</v>
      </c>
      <c r="H92" s="16">
        <f t="shared" si="19"/>
        <v>20365.051847385603</v>
      </c>
      <c r="I92" s="16">
        <f t="shared" si="19"/>
        <v>20772.352884333315</v>
      </c>
      <c r="J92" s="16">
        <f t="shared" si="19"/>
        <v>21187.799942019981</v>
      </c>
      <c r="K92" s="16">
        <f t="shared" si="19"/>
        <v>21611.555940860377</v>
      </c>
      <c r="L92" s="16">
        <f t="shared" si="19"/>
        <v>22043.787059677587</v>
      </c>
      <c r="M92" s="16">
        <f t="shared" si="19"/>
        <v>22484.662800871138</v>
      </c>
    </row>
    <row r="93" spans="1:13" ht="12.75" x14ac:dyDescent="0.2">
      <c r="A93" s="1" t="s">
        <v>141</v>
      </c>
      <c r="B93" s="1"/>
      <c r="C93" s="1"/>
      <c r="D93" s="3"/>
      <c r="E93" s="3"/>
      <c r="F93" s="3"/>
      <c r="G93" s="3"/>
      <c r="H93" s="3"/>
      <c r="I93" s="3"/>
      <c r="J93" s="3"/>
      <c r="K93" s="3"/>
      <c r="L93" s="3"/>
      <c r="M93" s="3"/>
    </row>
    <row r="94" spans="1:13" ht="12.75" x14ac:dyDescent="0.2">
      <c r="A94" s="1"/>
      <c r="B94" s="1"/>
      <c r="C94" s="1"/>
      <c r="D94" s="3"/>
      <c r="E94" s="3"/>
      <c r="F94" s="3"/>
      <c r="G94" s="3"/>
      <c r="H94" s="3"/>
      <c r="I94" s="3"/>
      <c r="J94" s="3"/>
      <c r="K94" s="3"/>
      <c r="L94" s="3"/>
      <c r="M94" s="3"/>
    </row>
    <row r="95" spans="1:13" ht="12.75" x14ac:dyDescent="0.2">
      <c r="A95" s="1"/>
      <c r="B95" s="1"/>
      <c r="C95" s="1"/>
      <c r="D95" s="3"/>
      <c r="E95" s="3"/>
      <c r="F95" s="3"/>
      <c r="G95" s="3"/>
      <c r="H95" s="3"/>
      <c r="I95" s="3"/>
      <c r="J95" s="3"/>
      <c r="K95" s="3"/>
      <c r="L95" s="3"/>
      <c r="M95" s="3"/>
    </row>
    <row r="96" spans="1:13" ht="12.75" x14ac:dyDescent="0.2">
      <c r="A96" s="2" t="s">
        <v>49</v>
      </c>
      <c r="B96" s="1"/>
      <c r="C96" s="1"/>
      <c r="D96" s="31" t="s">
        <v>142</v>
      </c>
      <c r="E96" s="31" t="s">
        <v>117</v>
      </c>
      <c r="F96" s="31" t="s">
        <v>118</v>
      </c>
      <c r="G96" s="31" t="s">
        <v>119</v>
      </c>
      <c r="H96" s="31" t="s">
        <v>120</v>
      </c>
      <c r="I96" s="31" t="s">
        <v>121</v>
      </c>
      <c r="J96" s="31" t="s">
        <v>122</v>
      </c>
      <c r="K96" s="31" t="s">
        <v>123</v>
      </c>
      <c r="L96" s="31" t="s">
        <v>124</v>
      </c>
      <c r="M96" s="31" t="s">
        <v>125</v>
      </c>
    </row>
    <row r="97" spans="1:13" ht="12.75" x14ac:dyDescent="0.2">
      <c r="A97" s="1"/>
      <c r="B97" s="1"/>
      <c r="C97" s="1"/>
      <c r="D97" s="3"/>
      <c r="E97" s="3"/>
      <c r="F97" s="3"/>
      <c r="G97" s="3"/>
      <c r="H97" s="3"/>
      <c r="I97" s="3"/>
      <c r="J97" s="3"/>
      <c r="K97" s="3"/>
      <c r="L97" s="3"/>
      <c r="M97" s="3"/>
    </row>
    <row r="98" spans="1:13" ht="12.75" x14ac:dyDescent="0.2">
      <c r="A98" s="2" t="s">
        <v>50</v>
      </c>
      <c r="B98" s="1"/>
      <c r="C98" s="1"/>
      <c r="D98" s="16">
        <f t="shared" ref="D98:M98" si="20">D92</f>
        <v>18814.16</v>
      </c>
      <c r="E98" s="16">
        <f t="shared" si="20"/>
        <v>19190.443200000002</v>
      </c>
      <c r="F98" s="16">
        <f t="shared" si="20"/>
        <v>19574.252064</v>
      </c>
      <c r="G98" s="16">
        <f t="shared" si="20"/>
        <v>19965.737105280001</v>
      </c>
      <c r="H98" s="16">
        <f t="shared" si="20"/>
        <v>20365.051847385603</v>
      </c>
      <c r="I98" s="16">
        <f t="shared" si="20"/>
        <v>20772.352884333315</v>
      </c>
      <c r="J98" s="16">
        <f t="shared" si="20"/>
        <v>21187.799942019981</v>
      </c>
      <c r="K98" s="16">
        <f t="shared" si="20"/>
        <v>21611.555940860377</v>
      </c>
      <c r="L98" s="16">
        <f t="shared" si="20"/>
        <v>22043.787059677587</v>
      </c>
      <c r="M98" s="16">
        <f t="shared" si="20"/>
        <v>22484.662800871138</v>
      </c>
    </row>
    <row r="99" spans="1:13" ht="12.75" x14ac:dyDescent="0.2">
      <c r="A99" s="2" t="s">
        <v>51</v>
      </c>
      <c r="B99" s="1"/>
      <c r="C99" s="1"/>
      <c r="D99" s="16">
        <f>E59</f>
        <v>16472.495250847773</v>
      </c>
      <c r="E99" s="16">
        <f>E59</f>
        <v>16472.495250847773</v>
      </c>
      <c r="F99" s="16">
        <f>E59</f>
        <v>16472.495250847773</v>
      </c>
      <c r="G99" s="16">
        <f>E59</f>
        <v>16472.495250847773</v>
      </c>
      <c r="H99" s="16">
        <f>E59</f>
        <v>16472.495250847773</v>
      </c>
      <c r="I99" s="16">
        <f>E59</f>
        <v>16472.495250847773</v>
      </c>
      <c r="J99" s="16">
        <f>E59</f>
        <v>16472.495250847773</v>
      </c>
      <c r="K99" s="16">
        <f>E59</f>
        <v>16472.495250847773</v>
      </c>
      <c r="L99" s="16">
        <f>E59</f>
        <v>16472.495250847773</v>
      </c>
      <c r="M99" s="16">
        <f>E59</f>
        <v>16472.495250847773</v>
      </c>
    </row>
    <row r="100" spans="1:13" ht="12.75" x14ac:dyDescent="0.2">
      <c r="A100" s="2" t="s">
        <v>49</v>
      </c>
      <c r="B100" s="1"/>
      <c r="C100" s="1"/>
      <c r="D100" s="16">
        <f t="shared" ref="D100:M100" si="21">D98-D99</f>
        <v>2341.6647491522272</v>
      </c>
      <c r="E100" s="16">
        <f t="shared" si="21"/>
        <v>2717.9479491522288</v>
      </c>
      <c r="F100" s="16">
        <f t="shared" si="21"/>
        <v>3101.7568131522276</v>
      </c>
      <c r="G100" s="16">
        <f t="shared" si="21"/>
        <v>3493.2418544322281</v>
      </c>
      <c r="H100" s="16">
        <f t="shared" si="21"/>
        <v>3892.55659653783</v>
      </c>
      <c r="I100" s="16">
        <f t="shared" si="21"/>
        <v>4299.8576334855425</v>
      </c>
      <c r="J100" s="16">
        <f t="shared" si="21"/>
        <v>4715.3046911722085</v>
      </c>
      <c r="K100" s="16">
        <f t="shared" si="21"/>
        <v>5139.060690012604</v>
      </c>
      <c r="L100" s="16">
        <f t="shared" si="21"/>
        <v>5571.2918088298138</v>
      </c>
      <c r="M100" s="16">
        <f t="shared" si="21"/>
        <v>6012.167550023365</v>
      </c>
    </row>
    <row r="101" spans="1:13" ht="12.75" x14ac:dyDescent="0.2">
      <c r="A101" s="1"/>
      <c r="B101" s="1"/>
      <c r="C101" s="1"/>
      <c r="D101" s="3">
        <f>(D100/13)/12</f>
        <v>15.010671468924533</v>
      </c>
      <c r="E101" s="3"/>
      <c r="F101" s="3"/>
      <c r="G101" s="3"/>
      <c r="H101" s="3"/>
      <c r="I101" s="3"/>
      <c r="J101" s="3"/>
      <c r="K101" s="3"/>
      <c r="L101" s="3"/>
      <c r="M101" s="3"/>
    </row>
    <row r="102" spans="1:13" ht="12.75" x14ac:dyDescent="0.2">
      <c r="A102" s="1"/>
      <c r="B102" s="1"/>
      <c r="C102" s="1"/>
      <c r="D102" s="3"/>
      <c r="E102" s="3"/>
      <c r="F102" s="3"/>
      <c r="G102" s="3"/>
      <c r="H102" s="3"/>
      <c r="I102" s="3"/>
      <c r="J102" s="3"/>
      <c r="K102" s="3"/>
      <c r="L102" s="3"/>
      <c r="M102" s="3"/>
    </row>
    <row r="103" spans="1:13" ht="12.75" x14ac:dyDescent="0.2">
      <c r="A103" s="2" t="s">
        <v>52</v>
      </c>
      <c r="B103" s="1"/>
      <c r="C103" s="1"/>
      <c r="D103" s="31" t="s">
        <v>142</v>
      </c>
      <c r="E103" s="31" t="s">
        <v>117</v>
      </c>
      <c r="F103" s="31" t="s">
        <v>118</v>
      </c>
      <c r="G103" s="31" t="s">
        <v>119</v>
      </c>
      <c r="H103" s="31" t="s">
        <v>120</v>
      </c>
      <c r="I103" s="31" t="s">
        <v>121</v>
      </c>
      <c r="J103" s="31" t="s">
        <v>122</v>
      </c>
      <c r="K103" s="31" t="s">
        <v>123</v>
      </c>
      <c r="L103" s="31" t="s">
        <v>124</v>
      </c>
      <c r="M103" s="31" t="s">
        <v>125</v>
      </c>
    </row>
    <row r="104" spans="1:13" ht="12.75" x14ac:dyDescent="0.2">
      <c r="A104" s="1"/>
      <c r="B104" s="1"/>
      <c r="C104" s="1"/>
      <c r="D104" s="3"/>
      <c r="E104" s="3"/>
      <c r="F104" s="3"/>
      <c r="G104" s="3"/>
      <c r="H104" s="3"/>
      <c r="I104" s="3"/>
      <c r="J104" s="3"/>
      <c r="K104" s="3"/>
      <c r="L104" s="3"/>
      <c r="M104" s="3"/>
    </row>
    <row r="105" spans="1:13" ht="12.75" x14ac:dyDescent="0.2">
      <c r="A105" s="2" t="s">
        <v>50</v>
      </c>
      <c r="B105" s="1"/>
      <c r="C105" s="1"/>
      <c r="D105" s="16">
        <f t="shared" ref="D105:M105" si="22">D92</f>
        <v>18814.16</v>
      </c>
      <c r="E105" s="16">
        <f t="shared" si="22"/>
        <v>19190.443200000002</v>
      </c>
      <c r="F105" s="16">
        <f t="shared" si="22"/>
        <v>19574.252064</v>
      </c>
      <c r="G105" s="16">
        <f t="shared" si="22"/>
        <v>19965.737105280001</v>
      </c>
      <c r="H105" s="16">
        <f t="shared" si="22"/>
        <v>20365.051847385603</v>
      </c>
      <c r="I105" s="16">
        <f t="shared" si="22"/>
        <v>20772.352884333315</v>
      </c>
      <c r="J105" s="16">
        <f t="shared" si="22"/>
        <v>21187.799942019981</v>
      </c>
      <c r="K105" s="16">
        <f t="shared" si="22"/>
        <v>21611.555940860377</v>
      </c>
      <c r="L105" s="16">
        <f t="shared" si="22"/>
        <v>22043.787059677587</v>
      </c>
      <c r="M105" s="16">
        <f t="shared" si="22"/>
        <v>22484.662800871138</v>
      </c>
    </row>
    <row r="106" spans="1:13" ht="12.75" x14ac:dyDescent="0.2">
      <c r="A106" s="2" t="s">
        <v>53</v>
      </c>
      <c r="B106" s="1"/>
      <c r="C106" s="1"/>
      <c r="D106" s="16">
        <f t="shared" ref="D106:M106" si="23">D99-D121</f>
        <v>10258.887612624065</v>
      </c>
      <c r="E106" s="16">
        <f t="shared" si="23"/>
        <v>9940.9876531601185</v>
      </c>
      <c r="F106" s="16">
        <f t="shared" si="23"/>
        <v>9606.8233284335001</v>
      </c>
      <c r="G106" s="16">
        <f t="shared" si="23"/>
        <v>9255.5625226493867</v>
      </c>
      <c r="H106" s="16">
        <f t="shared" si="23"/>
        <v>8886.33054739004</v>
      </c>
      <c r="I106" s="16">
        <f t="shared" si="23"/>
        <v>8498.2079635176342</v>
      </c>
      <c r="J106" s="16">
        <f t="shared" si="23"/>
        <v>8090.2282916436961</v>
      </c>
      <c r="K106" s="16">
        <f t="shared" si="23"/>
        <v>7661.3756054594705</v>
      </c>
      <c r="L106" s="16">
        <f t="shared" si="23"/>
        <v>7210.5820019383391</v>
      </c>
      <c r="M106" s="16">
        <f t="shared" si="23"/>
        <v>6736.7249421082088</v>
      </c>
    </row>
    <row r="107" spans="1:13" ht="12.75" x14ac:dyDescent="0.2">
      <c r="A107" s="2" t="s">
        <v>54</v>
      </c>
      <c r="B107" s="1"/>
      <c r="C107" s="1"/>
      <c r="D107" s="16">
        <f>H59</f>
        <v>8130.909090909091</v>
      </c>
      <c r="E107" s="16">
        <f t="shared" ref="E107:M107" si="24">D107</f>
        <v>8130.909090909091</v>
      </c>
      <c r="F107" s="16">
        <f t="shared" si="24"/>
        <v>8130.909090909091</v>
      </c>
      <c r="G107" s="16">
        <f t="shared" si="24"/>
        <v>8130.909090909091</v>
      </c>
      <c r="H107" s="16">
        <f t="shared" si="24"/>
        <v>8130.909090909091</v>
      </c>
      <c r="I107" s="16">
        <f t="shared" si="24"/>
        <v>8130.909090909091</v>
      </c>
      <c r="J107" s="16">
        <f t="shared" si="24"/>
        <v>8130.909090909091</v>
      </c>
      <c r="K107" s="16">
        <f t="shared" si="24"/>
        <v>8130.909090909091</v>
      </c>
      <c r="L107" s="16">
        <f t="shared" si="24"/>
        <v>8130.909090909091</v>
      </c>
      <c r="M107" s="16">
        <f t="shared" si="24"/>
        <v>8130.909090909091</v>
      </c>
    </row>
    <row r="108" spans="1:13" ht="12.75" x14ac:dyDescent="0.2">
      <c r="A108" s="2" t="s">
        <v>55</v>
      </c>
      <c r="B108" s="1"/>
      <c r="C108" s="1"/>
      <c r="D108" s="16">
        <f t="shared" ref="D108:M108" si="25">D105-D106-D107</f>
        <v>424.36329646684408</v>
      </c>
      <c r="E108" s="16">
        <f t="shared" si="25"/>
        <v>1118.546455930792</v>
      </c>
      <c r="F108" s="16">
        <f t="shared" si="25"/>
        <v>1836.5196446574091</v>
      </c>
      <c r="G108" s="16">
        <f t="shared" si="25"/>
        <v>2579.2654917215232</v>
      </c>
      <c r="H108" s="16">
        <f t="shared" si="25"/>
        <v>3347.8122090864717</v>
      </c>
      <c r="I108" s="16">
        <f t="shared" si="25"/>
        <v>4143.23582990659</v>
      </c>
      <c r="J108" s="16">
        <f t="shared" si="25"/>
        <v>4966.6625594671941</v>
      </c>
      <c r="K108" s="16">
        <f t="shared" si="25"/>
        <v>5819.2712444918152</v>
      </c>
      <c r="L108" s="16">
        <f t="shared" si="25"/>
        <v>6702.2959668301564</v>
      </c>
      <c r="M108" s="16">
        <f t="shared" si="25"/>
        <v>7617.028767853838</v>
      </c>
    </row>
    <row r="109" spans="1:13" ht="12.75" x14ac:dyDescent="0.2">
      <c r="A109" s="2" t="s">
        <v>56</v>
      </c>
      <c r="B109" s="1"/>
      <c r="C109" s="18">
        <f>H45/100</f>
        <v>0.22</v>
      </c>
      <c r="D109" s="14">
        <f>C109</f>
        <v>0.22</v>
      </c>
      <c r="E109" s="14">
        <f>C109</f>
        <v>0.22</v>
      </c>
      <c r="F109" s="14">
        <f>C109</f>
        <v>0.22</v>
      </c>
      <c r="G109" s="14">
        <f>C109</f>
        <v>0.22</v>
      </c>
      <c r="H109" s="14">
        <f>C109</f>
        <v>0.22</v>
      </c>
      <c r="I109" s="14">
        <f>C109</f>
        <v>0.22</v>
      </c>
      <c r="J109" s="14">
        <f>C109</f>
        <v>0.22</v>
      </c>
      <c r="K109" s="14">
        <f>C109</f>
        <v>0.22</v>
      </c>
      <c r="L109" s="14">
        <f>C109</f>
        <v>0.22</v>
      </c>
      <c r="M109" s="14">
        <f>C109</f>
        <v>0.22</v>
      </c>
    </row>
    <row r="110" spans="1:13" ht="12.75" x14ac:dyDescent="0.2">
      <c r="A110" s="2" t="s">
        <v>52</v>
      </c>
      <c r="B110" s="1"/>
      <c r="C110" s="1"/>
      <c r="D110" s="16">
        <f t="shared" ref="D110:M110" si="26">D108*D109*-1</f>
        <v>-93.359925222705698</v>
      </c>
      <c r="E110" s="16">
        <f t="shared" si="26"/>
        <v>-246.08022030477426</v>
      </c>
      <c r="F110" s="16">
        <f t="shared" si="26"/>
        <v>-404.03432182463001</v>
      </c>
      <c r="G110" s="16">
        <f t="shared" si="26"/>
        <v>-567.43840817873513</v>
      </c>
      <c r="H110" s="16">
        <f t="shared" si="26"/>
        <v>-736.51868599902377</v>
      </c>
      <c r="I110" s="16">
        <f t="shared" si="26"/>
        <v>-911.51188257944978</v>
      </c>
      <c r="J110" s="16">
        <f t="shared" si="26"/>
        <v>-1092.6657630827826</v>
      </c>
      <c r="K110" s="16">
        <f t="shared" si="26"/>
        <v>-1280.2396737881993</v>
      </c>
      <c r="L110" s="16">
        <f t="shared" si="26"/>
        <v>-1474.5051127026345</v>
      </c>
      <c r="M110" s="16">
        <f t="shared" si="26"/>
        <v>-1675.7463289278444</v>
      </c>
    </row>
    <row r="111" spans="1:13" ht="12.75" x14ac:dyDescent="0.2">
      <c r="A111" s="1"/>
      <c r="B111" s="1"/>
      <c r="C111" s="1"/>
      <c r="D111" s="3"/>
      <c r="E111" s="3"/>
      <c r="F111" s="3"/>
      <c r="G111" s="3"/>
      <c r="H111" s="3"/>
      <c r="I111" s="3"/>
      <c r="J111" s="3"/>
      <c r="K111" s="3"/>
      <c r="L111" s="3"/>
      <c r="M111" s="3"/>
    </row>
    <row r="112" spans="1:13" ht="12.75" x14ac:dyDescent="0.2">
      <c r="A112" s="1"/>
      <c r="B112" s="1"/>
      <c r="C112" s="1"/>
      <c r="D112" s="3"/>
      <c r="E112" s="3"/>
      <c r="F112" s="3"/>
      <c r="G112" s="3"/>
      <c r="H112" s="3"/>
      <c r="I112" s="3"/>
      <c r="J112" s="3"/>
      <c r="K112" s="3"/>
      <c r="L112" s="3"/>
      <c r="M112" s="3"/>
    </row>
    <row r="113" spans="1:13" ht="12.75" x14ac:dyDescent="0.2">
      <c r="A113" s="1"/>
      <c r="B113" s="1"/>
      <c r="C113" s="1"/>
      <c r="D113" s="3"/>
      <c r="E113" s="3"/>
      <c r="F113" s="3"/>
      <c r="G113" s="3"/>
      <c r="H113" s="3"/>
      <c r="I113" s="3"/>
      <c r="J113" s="3"/>
      <c r="K113" s="3"/>
      <c r="L113" s="3"/>
      <c r="M113" s="3"/>
    </row>
    <row r="114" spans="1:13" ht="12.75" x14ac:dyDescent="0.2">
      <c r="A114" s="2" t="s">
        <v>104</v>
      </c>
      <c r="B114" s="1"/>
      <c r="C114" s="1"/>
      <c r="D114" s="31" t="s">
        <v>142</v>
      </c>
      <c r="E114" s="31" t="s">
        <v>117</v>
      </c>
      <c r="F114" s="31" t="s">
        <v>118</v>
      </c>
      <c r="G114" s="31" t="s">
        <v>119</v>
      </c>
      <c r="H114" s="31" t="s">
        <v>120</v>
      </c>
      <c r="I114" s="31" t="s">
        <v>121</v>
      </c>
      <c r="J114" s="31" t="s">
        <v>122</v>
      </c>
      <c r="K114" s="31" t="s">
        <v>123</v>
      </c>
      <c r="L114" s="31" t="s">
        <v>124</v>
      </c>
      <c r="M114" s="31" t="s">
        <v>125</v>
      </c>
    </row>
    <row r="115" spans="1:13" ht="12.75" x14ac:dyDescent="0.2">
      <c r="A115" s="1"/>
      <c r="B115" s="1"/>
      <c r="C115" s="1"/>
      <c r="D115" s="3"/>
      <c r="E115" s="3"/>
      <c r="F115" s="3"/>
      <c r="G115" s="3"/>
      <c r="H115" s="3"/>
      <c r="I115" s="3"/>
      <c r="J115" s="3"/>
      <c r="K115" s="3"/>
      <c r="L115" s="3"/>
      <c r="M115" s="3"/>
    </row>
    <row r="116" spans="1:13" ht="12.75" x14ac:dyDescent="0.2">
      <c r="A116" s="2" t="s">
        <v>146</v>
      </c>
      <c r="B116" s="1"/>
      <c r="C116" s="1"/>
      <c r="D116" s="16">
        <f>B58</f>
        <v>208000</v>
      </c>
      <c r="E116" s="16">
        <f t="shared" ref="E116:M116" si="27">D120</f>
        <v>201786.39236177629</v>
      </c>
      <c r="F116" s="16">
        <f t="shared" si="27"/>
        <v>195254.88476408864</v>
      </c>
      <c r="G116" s="16">
        <f t="shared" si="27"/>
        <v>188389.21284167437</v>
      </c>
      <c r="H116" s="16">
        <f t="shared" si="27"/>
        <v>181172.28011347598</v>
      </c>
      <c r="I116" s="16">
        <f t="shared" si="27"/>
        <v>173586.11541001825</v>
      </c>
      <c r="J116" s="16">
        <f t="shared" si="27"/>
        <v>165611.82812268811</v>
      </c>
      <c r="K116" s="16">
        <f t="shared" si="27"/>
        <v>157229.56116348403</v>
      </c>
      <c r="L116" s="16">
        <f t="shared" si="27"/>
        <v>148418.44151809573</v>
      </c>
      <c r="M116" s="16">
        <f t="shared" si="27"/>
        <v>139156.5282691863</v>
      </c>
    </row>
    <row r="117" spans="1:13" ht="12.75" hidden="1" x14ac:dyDescent="0.2">
      <c r="A117" s="2" t="s">
        <v>57</v>
      </c>
      <c r="B117" s="1"/>
      <c r="C117" s="1"/>
      <c r="D117" s="19">
        <f>D116*(1+E56/12)^12</f>
        <v>218641.67475940054</v>
      </c>
      <c r="E117" s="19">
        <f>D116*(1+E56/12)^24</f>
        <v>229827.79779613216</v>
      </c>
      <c r="F117" s="19">
        <f>D116*(1+E56/12)^36</f>
        <v>241586.22411736153</v>
      </c>
      <c r="G117" s="19">
        <f>D116*(1+E56/12)^48</f>
        <v>253946.23384528756</v>
      </c>
      <c r="H117" s="19">
        <f>D116*(1+E56/12)^60</f>
        <v>266938.60512873094</v>
      </c>
      <c r="I117" s="19">
        <f>D116*(1+E56/12)^72</f>
        <v>280595.69078501943</v>
      </c>
      <c r="J117" s="19">
        <f>D116*(1+E56/12)^84</f>
        <v>294951.49886301701</v>
      </c>
      <c r="K117" s="19">
        <f>D116*(1+E56/12)^96</f>
        <v>310041.77732791088</v>
      </c>
      <c r="L117" s="19">
        <f>D116*(1+E56/12)^108</f>
        <v>325904.10307863256</v>
      </c>
      <c r="M117" s="19">
        <f>D116*(1+E56/12)^120</f>
        <v>342577.97551957949</v>
      </c>
    </row>
    <row r="118" spans="1:13" ht="12.75" hidden="1" x14ac:dyDescent="0.2">
      <c r="A118" s="2" t="s">
        <v>58</v>
      </c>
      <c r="B118" s="1"/>
      <c r="C118" s="1"/>
      <c r="D118" s="20">
        <f>(1+E56/12)^12-1</f>
        <v>5.116189788173342E-2</v>
      </c>
      <c r="E118" s="20">
        <f>(1+E56/12)^24-1</f>
        <v>0.10494133555832774</v>
      </c>
      <c r="F118" s="20">
        <f>(1+E56/12)^36-1</f>
        <v>0.16147223133346889</v>
      </c>
      <c r="G118" s="20">
        <f>(1+E56/12)^48-1</f>
        <v>0.2208953550254209</v>
      </c>
      <c r="H118" s="20">
        <f>(1+E56/12)^60-1</f>
        <v>0.28335867850351404</v>
      </c>
      <c r="I118" s="20">
        <f>(1+E56/12)^72-1</f>
        <v>0.3490177441587472</v>
      </c>
      <c r="J118" s="20">
        <f>(1+E56/12)^84-1</f>
        <v>0.41803605222604334</v>
      </c>
      <c r="K118" s="20">
        <f>(1+E56/12)^96-1</f>
        <v>0.49058546792264845</v>
      </c>
      <c r="L118" s="20">
        <f>(1+E56/12)^108-1</f>
        <v>0.56684664941650276</v>
      </c>
      <c r="M118" s="20">
        <f>(1+E56/12)^120-1</f>
        <v>0.64700949769028604</v>
      </c>
    </row>
    <row r="119" spans="1:13" ht="12.75" hidden="1" x14ac:dyDescent="0.2">
      <c r="A119" s="2" t="s">
        <v>59</v>
      </c>
      <c r="B119" s="1"/>
      <c r="C119" s="1"/>
      <c r="D119" s="19">
        <f>(E58)/(E56/12)*(D118)</f>
        <v>16855.282397624247</v>
      </c>
      <c r="E119" s="19">
        <f>(E58)/(E56/12)*(E118)</f>
        <v>34572.913032043522</v>
      </c>
      <c r="F119" s="19">
        <f>(E58)/(E56/12)*(F118)</f>
        <v>53197.011275687175</v>
      </c>
      <c r="G119" s="19">
        <f>(E58)/(E56/12)*(G118)</f>
        <v>72773.953731811562</v>
      </c>
      <c r="H119" s="19">
        <f>(E58)/(E56/12)*(H118)</f>
        <v>93352.489718712706</v>
      </c>
      <c r="I119" s="19">
        <f>(E58)/(E56/12)*(I118)</f>
        <v>114983.8626623313</v>
      </c>
      <c r="J119" s="19">
        <f>(E58)/(E56/12)*(J118)</f>
        <v>137721.93769953298</v>
      </c>
      <c r="K119" s="19">
        <f>(E58)/(E56/12)*(K118)</f>
        <v>161623.33580981515</v>
      </c>
      <c r="L119" s="19">
        <f>(E58)/(E56/12)*(L118)</f>
        <v>186747.57480944626</v>
      </c>
      <c r="M119" s="19">
        <f>(E58)/(E56/12)*(M118)</f>
        <v>213157.21755913275</v>
      </c>
    </row>
    <row r="120" spans="1:13" ht="12.75" x14ac:dyDescent="0.2">
      <c r="A120" s="2" t="s">
        <v>145</v>
      </c>
      <c r="B120" s="1"/>
      <c r="C120" s="1"/>
      <c r="D120" s="16">
        <f t="shared" ref="D120:M120" si="28">D117-D119</f>
        <v>201786.39236177629</v>
      </c>
      <c r="E120" s="16">
        <f t="shared" si="28"/>
        <v>195254.88476408864</v>
      </c>
      <c r="F120" s="16">
        <f t="shared" si="28"/>
        <v>188389.21284167437</v>
      </c>
      <c r="G120" s="16">
        <f t="shared" si="28"/>
        <v>181172.28011347598</v>
      </c>
      <c r="H120" s="16">
        <f t="shared" si="28"/>
        <v>173586.11541001825</v>
      </c>
      <c r="I120" s="16">
        <f t="shared" si="28"/>
        <v>165611.82812268811</v>
      </c>
      <c r="J120" s="16">
        <f t="shared" si="28"/>
        <v>157229.56116348403</v>
      </c>
      <c r="K120" s="16">
        <f t="shared" si="28"/>
        <v>148418.44151809573</v>
      </c>
      <c r="L120" s="16">
        <f t="shared" si="28"/>
        <v>139156.5282691863</v>
      </c>
      <c r="M120" s="16">
        <f t="shared" si="28"/>
        <v>129420.75796044673</v>
      </c>
    </row>
    <row r="121" spans="1:13" ht="12.75" x14ac:dyDescent="0.2">
      <c r="A121" s="2" t="s">
        <v>105</v>
      </c>
      <c r="B121" s="1"/>
      <c r="C121" s="1"/>
      <c r="D121" s="16">
        <f t="shared" ref="D121:M121" si="29">D116-D120</f>
        <v>6213.6076382237079</v>
      </c>
      <c r="E121" s="16">
        <f t="shared" si="29"/>
        <v>6531.5075976876542</v>
      </c>
      <c r="F121" s="16">
        <f t="shared" si="29"/>
        <v>6865.6719224142726</v>
      </c>
      <c r="G121" s="16">
        <f t="shared" si="29"/>
        <v>7216.932728198386</v>
      </c>
      <c r="H121" s="16">
        <f t="shared" si="29"/>
        <v>7586.1647034577327</v>
      </c>
      <c r="I121" s="16">
        <f t="shared" si="29"/>
        <v>7974.2872873301385</v>
      </c>
      <c r="J121" s="16">
        <f t="shared" si="29"/>
        <v>8382.2669592040766</v>
      </c>
      <c r="K121" s="16">
        <f t="shared" si="29"/>
        <v>8811.1196453883022</v>
      </c>
      <c r="L121" s="16">
        <f t="shared" si="29"/>
        <v>9261.9132489094336</v>
      </c>
      <c r="M121" s="16">
        <f t="shared" si="29"/>
        <v>9735.7703087395639</v>
      </c>
    </row>
    <row r="122" spans="1:13" ht="12.75" x14ac:dyDescent="0.2">
      <c r="A122" s="1"/>
      <c r="B122" s="1"/>
      <c r="C122" s="1"/>
      <c r="D122" s="3"/>
      <c r="E122" s="3"/>
      <c r="F122" s="3"/>
      <c r="G122" s="3"/>
      <c r="H122" s="3"/>
      <c r="I122" s="3"/>
      <c r="J122" s="3"/>
      <c r="K122" s="3"/>
      <c r="L122" s="3"/>
      <c r="M122" s="3"/>
    </row>
    <row r="123" spans="1:13" ht="12.75" x14ac:dyDescent="0.2">
      <c r="A123" s="1"/>
      <c r="B123" s="1"/>
      <c r="C123" s="1"/>
      <c r="D123" s="3"/>
      <c r="E123" s="3"/>
      <c r="F123" s="3"/>
      <c r="G123" s="3"/>
      <c r="H123" s="3"/>
      <c r="I123" s="3"/>
      <c r="J123" s="3"/>
      <c r="K123" s="3"/>
      <c r="L123" s="3"/>
      <c r="M123" s="3"/>
    </row>
    <row r="124" spans="1:13" ht="12.75" x14ac:dyDescent="0.2">
      <c r="A124" s="1"/>
      <c r="B124" s="1"/>
      <c r="C124" s="1"/>
      <c r="D124" s="3"/>
      <c r="E124" s="3"/>
      <c r="F124" s="3"/>
      <c r="G124" s="3"/>
      <c r="H124" s="3"/>
      <c r="I124" s="3"/>
      <c r="J124" s="3"/>
      <c r="K124" s="3"/>
      <c r="L124" s="3"/>
      <c r="M124" s="3"/>
    </row>
    <row r="125" spans="1:13" ht="12.75" x14ac:dyDescent="0.2">
      <c r="A125" s="2" t="s">
        <v>144</v>
      </c>
      <c r="B125" s="1"/>
      <c r="C125" s="1"/>
      <c r="D125" s="31" t="s">
        <v>142</v>
      </c>
      <c r="E125" s="31" t="s">
        <v>117</v>
      </c>
      <c r="F125" s="31" t="s">
        <v>118</v>
      </c>
      <c r="G125" s="31" t="s">
        <v>119</v>
      </c>
      <c r="H125" s="31" t="s">
        <v>120</v>
      </c>
      <c r="I125" s="31" t="s">
        <v>121</v>
      </c>
      <c r="J125" s="31" t="s">
        <v>122</v>
      </c>
      <c r="K125" s="31" t="s">
        <v>123</v>
      </c>
      <c r="L125" s="31" t="s">
        <v>124</v>
      </c>
      <c r="M125" s="31" t="s">
        <v>125</v>
      </c>
    </row>
    <row r="126" spans="1:13" ht="12.75" x14ac:dyDescent="0.2">
      <c r="A126" s="1"/>
      <c r="B126" s="1"/>
      <c r="C126" s="1"/>
      <c r="D126" s="3"/>
      <c r="E126" s="3"/>
      <c r="F126" s="3"/>
      <c r="G126" s="3"/>
      <c r="H126" s="3"/>
      <c r="I126" s="3"/>
      <c r="J126" s="3"/>
      <c r="K126" s="3"/>
      <c r="L126" s="3"/>
      <c r="M126" s="3"/>
    </row>
    <row r="127" spans="1:13" ht="12.75" x14ac:dyDescent="0.2">
      <c r="A127" s="2" t="s">
        <v>147</v>
      </c>
      <c r="B127" s="1"/>
      <c r="C127" s="18">
        <f>H44/100</f>
        <v>0.02</v>
      </c>
      <c r="D127" s="14">
        <f>C127</f>
        <v>0.02</v>
      </c>
      <c r="E127" s="14">
        <f>C127</f>
        <v>0.02</v>
      </c>
      <c r="F127" s="14">
        <f>C127</f>
        <v>0.02</v>
      </c>
      <c r="G127" s="14">
        <f>C127</f>
        <v>0.02</v>
      </c>
      <c r="H127" s="14">
        <f>C127</f>
        <v>0.02</v>
      </c>
      <c r="I127" s="14">
        <f>C127</f>
        <v>0.02</v>
      </c>
      <c r="J127" s="14">
        <f>C127</f>
        <v>0.02</v>
      </c>
      <c r="K127" s="14">
        <f>C127</f>
        <v>0.02</v>
      </c>
      <c r="L127" s="14">
        <f>C127</f>
        <v>0.02</v>
      </c>
      <c r="M127" s="14">
        <f>C127</f>
        <v>0.02</v>
      </c>
    </row>
    <row r="128" spans="1:13" ht="12.75" x14ac:dyDescent="0.2">
      <c r="A128" s="2" t="s">
        <v>112</v>
      </c>
      <c r="B128" s="1"/>
      <c r="C128" s="1"/>
      <c r="D128" s="16">
        <f>B56</f>
        <v>260000</v>
      </c>
      <c r="E128" s="16">
        <f t="shared" ref="E128:M128" si="30">D129</f>
        <v>265200</v>
      </c>
      <c r="F128" s="16">
        <f t="shared" si="30"/>
        <v>270504</v>
      </c>
      <c r="G128" s="16">
        <f t="shared" si="30"/>
        <v>275914.08</v>
      </c>
      <c r="H128" s="16">
        <f t="shared" si="30"/>
        <v>281432.3616</v>
      </c>
      <c r="I128" s="16">
        <f t="shared" si="30"/>
        <v>287061.00883200002</v>
      </c>
      <c r="J128" s="16">
        <f t="shared" si="30"/>
        <v>292802.22900864005</v>
      </c>
      <c r="K128" s="16">
        <f t="shared" si="30"/>
        <v>298658.27358881285</v>
      </c>
      <c r="L128" s="16">
        <f t="shared" si="30"/>
        <v>304631.43906058912</v>
      </c>
      <c r="M128" s="16">
        <f t="shared" si="30"/>
        <v>310724.06784180092</v>
      </c>
    </row>
    <row r="129" spans="1:13" ht="12.75" x14ac:dyDescent="0.2">
      <c r="A129" s="2" t="s">
        <v>60</v>
      </c>
      <c r="B129" s="1"/>
      <c r="C129" s="1"/>
      <c r="D129" s="16">
        <f t="shared" ref="D129:M129" si="31">(1+D127)*D128</f>
        <v>265200</v>
      </c>
      <c r="E129" s="16">
        <f t="shared" si="31"/>
        <v>270504</v>
      </c>
      <c r="F129" s="16">
        <f t="shared" si="31"/>
        <v>275914.08</v>
      </c>
      <c r="G129" s="16">
        <f t="shared" si="31"/>
        <v>281432.3616</v>
      </c>
      <c r="H129" s="16">
        <f t="shared" si="31"/>
        <v>287061.00883200002</v>
      </c>
      <c r="I129" s="16">
        <f t="shared" si="31"/>
        <v>292802.22900864005</v>
      </c>
      <c r="J129" s="16">
        <f t="shared" si="31"/>
        <v>298658.27358881285</v>
      </c>
      <c r="K129" s="16">
        <f t="shared" si="31"/>
        <v>304631.43906058912</v>
      </c>
      <c r="L129" s="16">
        <f t="shared" si="31"/>
        <v>310724.06784180092</v>
      </c>
      <c r="M129" s="16">
        <f t="shared" si="31"/>
        <v>316938.54919863696</v>
      </c>
    </row>
    <row r="130" spans="1:13" ht="12.75" x14ac:dyDescent="0.2">
      <c r="A130" s="2" t="s">
        <v>148</v>
      </c>
      <c r="B130" s="1"/>
      <c r="C130" s="1"/>
      <c r="D130" s="16">
        <f t="shared" ref="D130:M130" si="32">D129-D128</f>
        <v>5200</v>
      </c>
      <c r="E130" s="16">
        <f t="shared" si="32"/>
        <v>5304</v>
      </c>
      <c r="F130" s="16">
        <f t="shared" si="32"/>
        <v>5410.0800000000163</v>
      </c>
      <c r="G130" s="16">
        <f t="shared" si="32"/>
        <v>5518.2815999999875</v>
      </c>
      <c r="H130" s="16">
        <f t="shared" si="32"/>
        <v>5628.6472320000175</v>
      </c>
      <c r="I130" s="16">
        <f t="shared" si="32"/>
        <v>5741.2201766400249</v>
      </c>
      <c r="J130" s="16">
        <f t="shared" si="32"/>
        <v>5856.0445801728056</v>
      </c>
      <c r="K130" s="16">
        <f t="shared" si="32"/>
        <v>5973.1654717762722</v>
      </c>
      <c r="L130" s="16">
        <f t="shared" si="32"/>
        <v>6092.6287812117953</v>
      </c>
      <c r="M130" s="16">
        <f t="shared" si="32"/>
        <v>6214.4813568360405</v>
      </c>
    </row>
    <row r="131" spans="1:13" ht="12.75" x14ac:dyDescent="0.2">
      <c r="A131" s="1"/>
      <c r="B131" s="1"/>
      <c r="C131" s="1"/>
      <c r="D131" s="3"/>
      <c r="E131" s="3"/>
      <c r="F131" s="3"/>
      <c r="G131" s="3"/>
      <c r="H131" s="3"/>
      <c r="I131" s="3"/>
      <c r="J131" s="3"/>
      <c r="K131" s="3"/>
      <c r="L131" s="3"/>
      <c r="M131" s="3"/>
    </row>
    <row r="132" spans="1:13" ht="12.75" x14ac:dyDescent="0.2">
      <c r="A132" s="1"/>
      <c r="B132" s="1"/>
      <c r="C132" s="1"/>
      <c r="D132" s="3"/>
      <c r="E132" s="2" t="s">
        <v>106</v>
      </c>
      <c r="F132" s="3"/>
      <c r="G132" s="3"/>
      <c r="H132" s="3"/>
      <c r="I132" s="3"/>
      <c r="J132" s="3"/>
      <c r="K132" s="3"/>
      <c r="L132" s="4" t="s">
        <v>182</v>
      </c>
      <c r="M132" s="3"/>
    </row>
    <row r="133" spans="1:13" ht="12.75" x14ac:dyDescent="0.2">
      <c r="A133" s="1"/>
      <c r="B133" s="1"/>
      <c r="C133" s="1"/>
      <c r="D133" s="3"/>
      <c r="E133" s="3"/>
      <c r="F133" s="3"/>
      <c r="G133" s="3"/>
      <c r="H133" s="3"/>
      <c r="I133" s="3"/>
      <c r="J133" s="3"/>
      <c r="K133" s="3"/>
      <c r="L133" s="3"/>
      <c r="M133" s="3"/>
    </row>
    <row r="134" spans="1:13" ht="12.75" x14ac:dyDescent="0.2">
      <c r="A134" s="2" t="s">
        <v>149</v>
      </c>
      <c r="B134" s="1"/>
      <c r="C134" s="1"/>
      <c r="D134" s="3"/>
      <c r="E134" s="3"/>
      <c r="F134" s="3"/>
      <c r="G134" s="3"/>
      <c r="H134" s="3"/>
      <c r="I134" s="3"/>
      <c r="J134" s="3"/>
      <c r="K134" s="3"/>
      <c r="L134" s="3"/>
      <c r="M134" s="3"/>
    </row>
    <row r="135" spans="1:13" ht="12.75" x14ac:dyDescent="0.2">
      <c r="A135" s="1"/>
      <c r="B135" s="1"/>
      <c r="C135" s="1"/>
      <c r="D135" s="3"/>
      <c r="E135" s="3"/>
      <c r="F135" s="3"/>
      <c r="G135" s="3"/>
      <c r="H135" s="3"/>
      <c r="I135" s="3"/>
      <c r="J135" s="3"/>
      <c r="K135" s="3"/>
      <c r="L135" s="3"/>
      <c r="M135" s="3"/>
    </row>
    <row r="136" spans="1:13" ht="12.75" x14ac:dyDescent="0.2">
      <c r="A136" s="1"/>
      <c r="B136" s="1"/>
      <c r="C136" s="1"/>
      <c r="D136" s="31" t="s">
        <v>142</v>
      </c>
      <c r="E136" s="31" t="s">
        <v>117</v>
      </c>
      <c r="F136" s="31" t="s">
        <v>118</v>
      </c>
      <c r="G136" s="31" t="s">
        <v>119</v>
      </c>
      <c r="H136" s="31" t="s">
        <v>120</v>
      </c>
      <c r="I136" s="31" t="s">
        <v>121</v>
      </c>
      <c r="J136" s="31" t="s">
        <v>122</v>
      </c>
      <c r="K136" s="31" t="s">
        <v>123</v>
      </c>
      <c r="L136" s="31" t="s">
        <v>124</v>
      </c>
      <c r="M136" s="31" t="s">
        <v>125</v>
      </c>
    </row>
    <row r="137" spans="1:13" ht="12.75" x14ac:dyDescent="0.2">
      <c r="A137" s="1"/>
      <c r="B137" s="1"/>
      <c r="C137" s="1"/>
      <c r="D137" s="3"/>
      <c r="E137" s="3"/>
      <c r="F137" s="3"/>
      <c r="G137" s="3"/>
      <c r="H137" s="3"/>
      <c r="I137" s="3"/>
      <c r="J137" s="3"/>
      <c r="K137" s="3"/>
      <c r="L137" s="3"/>
      <c r="M137" s="3"/>
    </row>
    <row r="138" spans="1:13" ht="12.75" x14ac:dyDescent="0.2">
      <c r="A138" s="2" t="s">
        <v>61</v>
      </c>
      <c r="B138" s="1"/>
      <c r="C138" s="1"/>
      <c r="D138" s="16">
        <f t="shared" ref="D138:M138" si="33">D100</f>
        <v>2341.6647491522272</v>
      </c>
      <c r="E138" s="16">
        <f t="shared" si="33"/>
        <v>2717.9479491522288</v>
      </c>
      <c r="F138" s="16">
        <f t="shared" si="33"/>
        <v>3101.7568131522276</v>
      </c>
      <c r="G138" s="16">
        <f t="shared" si="33"/>
        <v>3493.2418544322281</v>
      </c>
      <c r="H138" s="16">
        <f t="shared" si="33"/>
        <v>3892.55659653783</v>
      </c>
      <c r="I138" s="16">
        <f t="shared" si="33"/>
        <v>4299.8576334855425</v>
      </c>
      <c r="J138" s="16">
        <f t="shared" si="33"/>
        <v>4715.3046911722085</v>
      </c>
      <c r="K138" s="16">
        <f t="shared" si="33"/>
        <v>5139.060690012604</v>
      </c>
      <c r="L138" s="16">
        <f t="shared" si="33"/>
        <v>5571.2918088298138</v>
      </c>
      <c r="M138" s="16">
        <f t="shared" si="33"/>
        <v>6012.167550023365</v>
      </c>
    </row>
    <row r="139" spans="1:13" ht="12.75" x14ac:dyDescent="0.2">
      <c r="A139" s="2" t="s">
        <v>62</v>
      </c>
      <c r="B139" s="1"/>
      <c r="C139" s="1"/>
      <c r="D139" s="16">
        <f t="shared" ref="D139:M139" si="34">D110</f>
        <v>-93.359925222705698</v>
      </c>
      <c r="E139" s="16">
        <f t="shared" si="34"/>
        <v>-246.08022030477426</v>
      </c>
      <c r="F139" s="16">
        <f t="shared" si="34"/>
        <v>-404.03432182463001</v>
      </c>
      <c r="G139" s="16">
        <f t="shared" si="34"/>
        <v>-567.43840817873513</v>
      </c>
      <c r="H139" s="16">
        <f t="shared" si="34"/>
        <v>-736.51868599902377</v>
      </c>
      <c r="I139" s="16">
        <f t="shared" si="34"/>
        <v>-911.51188257944978</v>
      </c>
      <c r="J139" s="16">
        <f t="shared" si="34"/>
        <v>-1092.6657630827826</v>
      </c>
      <c r="K139" s="16">
        <f t="shared" si="34"/>
        <v>-1280.2396737881993</v>
      </c>
      <c r="L139" s="16">
        <f t="shared" si="34"/>
        <v>-1474.5051127026345</v>
      </c>
      <c r="M139" s="16">
        <f t="shared" si="34"/>
        <v>-1675.7463289278444</v>
      </c>
    </row>
    <row r="140" spans="1:13" ht="12.75" x14ac:dyDescent="0.2">
      <c r="A140" s="2" t="s">
        <v>63</v>
      </c>
      <c r="B140" s="1"/>
      <c r="C140" s="1"/>
      <c r="D140" s="16">
        <f t="shared" ref="D140:M140" si="35">D121</f>
        <v>6213.6076382237079</v>
      </c>
      <c r="E140" s="16">
        <f t="shared" si="35"/>
        <v>6531.5075976876542</v>
      </c>
      <c r="F140" s="16">
        <f t="shared" si="35"/>
        <v>6865.6719224142726</v>
      </c>
      <c r="G140" s="16">
        <f t="shared" si="35"/>
        <v>7216.932728198386</v>
      </c>
      <c r="H140" s="16">
        <f t="shared" si="35"/>
        <v>7586.1647034577327</v>
      </c>
      <c r="I140" s="16">
        <f t="shared" si="35"/>
        <v>7974.2872873301385</v>
      </c>
      <c r="J140" s="16">
        <f t="shared" si="35"/>
        <v>8382.2669592040766</v>
      </c>
      <c r="K140" s="16">
        <f t="shared" si="35"/>
        <v>8811.1196453883022</v>
      </c>
      <c r="L140" s="16">
        <f t="shared" si="35"/>
        <v>9261.9132489094336</v>
      </c>
      <c r="M140" s="16">
        <f t="shared" si="35"/>
        <v>9735.7703087395639</v>
      </c>
    </row>
    <row r="141" spans="1:13" ht="12.75" x14ac:dyDescent="0.2">
      <c r="A141" s="2" t="s">
        <v>64</v>
      </c>
      <c r="B141" s="1"/>
      <c r="C141" s="1"/>
      <c r="D141" s="16">
        <f t="shared" ref="D141:M141" si="36">D130</f>
        <v>5200</v>
      </c>
      <c r="E141" s="16">
        <f t="shared" si="36"/>
        <v>5304</v>
      </c>
      <c r="F141" s="16">
        <f t="shared" si="36"/>
        <v>5410.0800000000163</v>
      </c>
      <c r="G141" s="16">
        <f t="shared" si="36"/>
        <v>5518.2815999999875</v>
      </c>
      <c r="H141" s="16">
        <f t="shared" si="36"/>
        <v>5628.6472320000175</v>
      </c>
      <c r="I141" s="16">
        <f t="shared" si="36"/>
        <v>5741.2201766400249</v>
      </c>
      <c r="J141" s="16">
        <f t="shared" si="36"/>
        <v>5856.0445801728056</v>
      </c>
      <c r="K141" s="16">
        <f t="shared" si="36"/>
        <v>5973.1654717762722</v>
      </c>
      <c r="L141" s="16">
        <f t="shared" si="36"/>
        <v>6092.6287812117953</v>
      </c>
      <c r="M141" s="16">
        <f t="shared" si="36"/>
        <v>6214.4813568360405</v>
      </c>
    </row>
    <row r="142" spans="1:13" ht="12.75" x14ac:dyDescent="0.2">
      <c r="A142" s="2" t="s">
        <v>65</v>
      </c>
      <c r="B142" s="1"/>
      <c r="C142" s="1"/>
      <c r="D142" s="16">
        <f t="shared" ref="D142:M142" si="37">SUM(D138:D141)</f>
        <v>13661.912462153228</v>
      </c>
      <c r="E142" s="16">
        <f t="shared" si="37"/>
        <v>14307.375326535108</v>
      </c>
      <c r="F142" s="16">
        <f t="shared" si="37"/>
        <v>14973.474413741886</v>
      </c>
      <c r="G142" s="16">
        <f t="shared" si="37"/>
        <v>15661.017774451866</v>
      </c>
      <c r="H142" s="16">
        <f t="shared" si="37"/>
        <v>16370.849845996556</v>
      </c>
      <c r="I142" s="16">
        <f t="shared" si="37"/>
        <v>17103.853214876257</v>
      </c>
      <c r="J142" s="16">
        <f t="shared" si="37"/>
        <v>17860.950467466308</v>
      </c>
      <c r="K142" s="16">
        <f t="shared" si="37"/>
        <v>18643.106133388981</v>
      </c>
      <c r="L142" s="16">
        <f t="shared" si="37"/>
        <v>19451.328726248408</v>
      </c>
      <c r="M142" s="16">
        <f t="shared" si="37"/>
        <v>20286.672886671127</v>
      </c>
    </row>
    <row r="143" spans="1:13" ht="12.75" x14ac:dyDescent="0.2">
      <c r="A143" s="1"/>
      <c r="B143" s="1"/>
      <c r="C143" s="1"/>
      <c r="D143" s="3"/>
      <c r="E143" s="3"/>
      <c r="F143" s="3"/>
      <c r="G143" s="3"/>
      <c r="H143" s="3"/>
      <c r="I143" s="3"/>
      <c r="J143" s="3"/>
      <c r="K143" s="3"/>
      <c r="L143" s="3"/>
      <c r="M143" s="3"/>
    </row>
    <row r="144" spans="1:13" ht="12.75" x14ac:dyDescent="0.2">
      <c r="A144" s="2" t="s">
        <v>66</v>
      </c>
      <c r="B144" s="1"/>
      <c r="C144" s="1"/>
      <c r="D144" s="3"/>
      <c r="E144" s="3"/>
      <c r="F144" s="3"/>
      <c r="G144" s="3"/>
      <c r="H144" s="3"/>
      <c r="I144" s="3"/>
      <c r="J144" s="3"/>
      <c r="K144" s="3"/>
      <c r="L144" s="3"/>
      <c r="M144" s="3"/>
    </row>
    <row r="145" spans="1:13" ht="12.75" x14ac:dyDescent="0.2">
      <c r="A145" s="2" t="s">
        <v>67</v>
      </c>
      <c r="B145" s="1"/>
      <c r="C145" s="1"/>
      <c r="D145" s="16">
        <f>B57</f>
        <v>52000</v>
      </c>
      <c r="E145" s="16">
        <f t="shared" ref="E145:M146" si="38">D145</f>
        <v>52000</v>
      </c>
      <c r="F145" s="16">
        <f t="shared" si="38"/>
        <v>52000</v>
      </c>
      <c r="G145" s="16">
        <f t="shared" si="38"/>
        <v>52000</v>
      </c>
      <c r="H145" s="16">
        <f t="shared" si="38"/>
        <v>52000</v>
      </c>
      <c r="I145" s="16">
        <f t="shared" si="38"/>
        <v>52000</v>
      </c>
      <c r="J145" s="16">
        <f t="shared" si="38"/>
        <v>52000</v>
      </c>
      <c r="K145" s="16">
        <f t="shared" si="38"/>
        <v>52000</v>
      </c>
      <c r="L145" s="16">
        <f t="shared" si="38"/>
        <v>52000</v>
      </c>
      <c r="M145" s="16">
        <f t="shared" si="38"/>
        <v>52000</v>
      </c>
    </row>
    <row r="146" spans="1:13" ht="12.75" x14ac:dyDescent="0.2">
      <c r="A146" s="2" t="s">
        <v>150</v>
      </c>
      <c r="B146" s="1"/>
      <c r="C146" s="1"/>
      <c r="D146" s="21">
        <f>H48</f>
        <v>0</v>
      </c>
      <c r="E146" s="21">
        <f>D146</f>
        <v>0</v>
      </c>
      <c r="F146" s="21">
        <f t="shared" si="38"/>
        <v>0</v>
      </c>
      <c r="G146" s="21">
        <f t="shared" si="38"/>
        <v>0</v>
      </c>
      <c r="H146" s="21">
        <f t="shared" si="38"/>
        <v>0</v>
      </c>
      <c r="I146" s="21">
        <f t="shared" si="38"/>
        <v>0</v>
      </c>
      <c r="J146" s="21">
        <f t="shared" si="38"/>
        <v>0</v>
      </c>
      <c r="K146" s="21">
        <f t="shared" si="38"/>
        <v>0</v>
      </c>
      <c r="L146" s="21">
        <f t="shared" si="38"/>
        <v>0</v>
      </c>
      <c r="M146" s="21">
        <f t="shared" si="38"/>
        <v>0</v>
      </c>
    </row>
    <row r="147" spans="1:13" ht="12.75" x14ac:dyDescent="0.2">
      <c r="A147" s="2" t="s">
        <v>151</v>
      </c>
      <c r="B147" s="1"/>
      <c r="C147" s="1"/>
      <c r="D147" s="16">
        <f>SUM(D145:D146)</f>
        <v>52000</v>
      </c>
      <c r="E147" s="16">
        <f t="shared" ref="E147:M147" si="39">SUM(E145:E146)</f>
        <v>52000</v>
      </c>
      <c r="F147" s="16">
        <f t="shared" si="39"/>
        <v>52000</v>
      </c>
      <c r="G147" s="16">
        <f t="shared" si="39"/>
        <v>52000</v>
      </c>
      <c r="H147" s="16">
        <f t="shared" si="39"/>
        <v>52000</v>
      </c>
      <c r="I147" s="16">
        <f t="shared" si="39"/>
        <v>52000</v>
      </c>
      <c r="J147" s="16">
        <f t="shared" si="39"/>
        <v>52000</v>
      </c>
      <c r="K147" s="16">
        <f t="shared" si="39"/>
        <v>52000</v>
      </c>
      <c r="L147" s="16">
        <f t="shared" si="39"/>
        <v>52000</v>
      </c>
      <c r="M147" s="16">
        <f t="shared" si="39"/>
        <v>52000</v>
      </c>
    </row>
    <row r="148" spans="1:13" ht="12.75" x14ac:dyDescent="0.2">
      <c r="A148" s="1"/>
      <c r="B148" s="1"/>
      <c r="C148" s="1"/>
      <c r="D148" s="3"/>
      <c r="E148" s="3"/>
      <c r="F148" s="3"/>
      <c r="G148" s="3"/>
      <c r="H148" s="3"/>
      <c r="I148" s="3"/>
      <c r="J148" s="3"/>
      <c r="K148" s="3"/>
      <c r="L148" s="3"/>
      <c r="M148" s="3"/>
    </row>
    <row r="149" spans="1:13" ht="12.75" x14ac:dyDescent="0.2">
      <c r="A149" s="2" t="s">
        <v>68</v>
      </c>
      <c r="B149" s="1"/>
      <c r="C149" s="1"/>
      <c r="D149" s="14">
        <f>D142/D147</f>
        <v>0.26272908581063903</v>
      </c>
      <c r="E149" s="14">
        <f t="shared" ref="E149:M149" si="40">E142/E147</f>
        <v>0.27514183320259822</v>
      </c>
      <c r="F149" s="14">
        <f t="shared" si="40"/>
        <v>0.2879514310334978</v>
      </c>
      <c r="G149" s="14">
        <f t="shared" si="40"/>
        <v>0.30117341873945896</v>
      </c>
      <c r="H149" s="14">
        <f t="shared" si="40"/>
        <v>0.31482403549993376</v>
      </c>
      <c r="I149" s="14">
        <f t="shared" si="40"/>
        <v>0.32892025413223569</v>
      </c>
      <c r="J149" s="14">
        <f t="shared" si="40"/>
        <v>0.34347981668204436</v>
      </c>
      <c r="K149" s="14">
        <f t="shared" si="40"/>
        <v>0.35852127179594195</v>
      </c>
      <c r="L149" s="14">
        <f t="shared" si="40"/>
        <v>0.37406401396631556</v>
      </c>
      <c r="M149" s="14">
        <f t="shared" si="40"/>
        <v>0.39012832474367554</v>
      </c>
    </row>
    <row r="150" spans="1:13" ht="12.75" x14ac:dyDescent="0.2">
      <c r="A150" s="1"/>
      <c r="B150" s="1"/>
      <c r="C150" s="1"/>
      <c r="D150" s="3"/>
      <c r="E150" s="3"/>
      <c r="F150" s="3"/>
      <c r="G150" s="3"/>
      <c r="H150" s="3"/>
      <c r="I150" s="3"/>
      <c r="J150" s="3"/>
      <c r="K150" s="3"/>
      <c r="L150" s="3"/>
      <c r="M150" s="3"/>
    </row>
    <row r="151" spans="1:13" ht="12.75" x14ac:dyDescent="0.2">
      <c r="A151" s="1"/>
      <c r="B151" s="1"/>
      <c r="C151" s="1"/>
      <c r="D151" s="3"/>
      <c r="E151" s="3"/>
      <c r="F151" s="3"/>
      <c r="G151" s="3"/>
      <c r="H151" s="3"/>
      <c r="I151" s="3"/>
      <c r="J151" s="3"/>
      <c r="K151" s="3"/>
      <c r="L151" s="3"/>
      <c r="M151" s="3"/>
    </row>
    <row r="152" spans="1:13" ht="12.75" x14ac:dyDescent="0.2">
      <c r="A152" s="2" t="s">
        <v>111</v>
      </c>
      <c r="B152" s="1"/>
      <c r="C152" s="1"/>
      <c r="D152" s="3"/>
      <c r="E152" s="3"/>
      <c r="F152" s="3"/>
      <c r="G152" s="3"/>
      <c r="H152" s="3"/>
      <c r="I152" s="3"/>
      <c r="J152" s="3"/>
      <c r="K152" s="3"/>
      <c r="L152" s="3"/>
      <c r="M152" s="3"/>
    </row>
    <row r="153" spans="1:13" ht="12.75" x14ac:dyDescent="0.2">
      <c r="A153" s="1"/>
      <c r="B153" s="1"/>
      <c r="C153" s="1"/>
      <c r="D153" s="3"/>
      <c r="E153" s="3"/>
      <c r="F153" s="3"/>
      <c r="G153" s="3"/>
      <c r="H153" s="3"/>
      <c r="I153" s="3"/>
      <c r="J153" s="3"/>
      <c r="K153" s="3"/>
      <c r="L153" s="3"/>
      <c r="M153" s="3"/>
    </row>
    <row r="154" spans="1:13" ht="12.75" x14ac:dyDescent="0.2">
      <c r="A154" s="1"/>
      <c r="B154" s="1"/>
      <c r="C154" s="1"/>
      <c r="D154" s="31" t="s">
        <v>142</v>
      </c>
      <c r="E154" s="31" t="s">
        <v>117</v>
      </c>
      <c r="F154" s="31" t="s">
        <v>118</v>
      </c>
      <c r="G154" s="31" t="s">
        <v>119</v>
      </c>
      <c r="H154" s="31" t="s">
        <v>120</v>
      </c>
      <c r="I154" s="31" t="s">
        <v>121</v>
      </c>
      <c r="J154" s="31" t="s">
        <v>122</v>
      </c>
      <c r="K154" s="31" t="s">
        <v>123</v>
      </c>
      <c r="L154" s="31" t="s">
        <v>124</v>
      </c>
      <c r="M154" s="31" t="s">
        <v>125</v>
      </c>
    </row>
    <row r="155" spans="1:13" ht="12.75" x14ac:dyDescent="0.2">
      <c r="A155" s="1"/>
      <c r="B155" s="1"/>
      <c r="C155" s="1"/>
      <c r="D155" s="3"/>
      <c r="E155" s="3"/>
      <c r="F155" s="3"/>
      <c r="G155" s="3"/>
      <c r="H155" s="3"/>
      <c r="I155" s="3"/>
      <c r="J155" s="3"/>
      <c r="K155" s="3"/>
      <c r="L155" s="3"/>
      <c r="M155" s="3"/>
    </row>
    <row r="156" spans="1:13" ht="12.75" x14ac:dyDescent="0.2">
      <c r="A156" s="2" t="s">
        <v>61</v>
      </c>
      <c r="B156" s="1"/>
      <c r="C156" s="1"/>
      <c r="D156" s="16">
        <f t="shared" ref="D156:M160" si="41">D138</f>
        <v>2341.6647491522272</v>
      </c>
      <c r="E156" s="16">
        <f t="shared" si="41"/>
        <v>2717.9479491522288</v>
      </c>
      <c r="F156" s="16">
        <f t="shared" si="41"/>
        <v>3101.7568131522276</v>
      </c>
      <c r="G156" s="16">
        <f t="shared" si="41"/>
        <v>3493.2418544322281</v>
      </c>
      <c r="H156" s="16">
        <f t="shared" si="41"/>
        <v>3892.55659653783</v>
      </c>
      <c r="I156" s="16">
        <f t="shared" si="41"/>
        <v>4299.8576334855425</v>
      </c>
      <c r="J156" s="16">
        <f t="shared" si="41"/>
        <v>4715.3046911722085</v>
      </c>
      <c r="K156" s="16">
        <f t="shared" si="41"/>
        <v>5139.060690012604</v>
      </c>
      <c r="L156" s="16">
        <f t="shared" si="41"/>
        <v>5571.2918088298138</v>
      </c>
      <c r="M156" s="16">
        <f t="shared" si="41"/>
        <v>6012.167550023365</v>
      </c>
    </row>
    <row r="157" spans="1:13" ht="12.75" x14ac:dyDescent="0.2">
      <c r="A157" s="2" t="s">
        <v>62</v>
      </c>
      <c r="B157" s="1"/>
      <c r="C157" s="1"/>
      <c r="D157" s="16">
        <f t="shared" si="41"/>
        <v>-93.359925222705698</v>
      </c>
      <c r="E157" s="16">
        <f t="shared" si="41"/>
        <v>-246.08022030477426</v>
      </c>
      <c r="F157" s="16">
        <f t="shared" si="41"/>
        <v>-404.03432182463001</v>
      </c>
      <c r="G157" s="16">
        <f t="shared" si="41"/>
        <v>-567.43840817873513</v>
      </c>
      <c r="H157" s="16">
        <f t="shared" si="41"/>
        <v>-736.51868599902377</v>
      </c>
      <c r="I157" s="16">
        <f t="shared" si="41"/>
        <v>-911.51188257944978</v>
      </c>
      <c r="J157" s="16">
        <f t="shared" si="41"/>
        <v>-1092.6657630827826</v>
      </c>
      <c r="K157" s="16">
        <f t="shared" si="41"/>
        <v>-1280.2396737881993</v>
      </c>
      <c r="L157" s="16">
        <f t="shared" si="41"/>
        <v>-1474.5051127026345</v>
      </c>
      <c r="M157" s="16">
        <f t="shared" si="41"/>
        <v>-1675.7463289278444</v>
      </c>
    </row>
    <row r="158" spans="1:13" ht="12.75" x14ac:dyDescent="0.2">
      <c r="A158" s="2" t="s">
        <v>63</v>
      </c>
      <c r="B158" s="1"/>
      <c r="C158" s="1"/>
      <c r="D158" s="16">
        <f t="shared" si="41"/>
        <v>6213.6076382237079</v>
      </c>
      <c r="E158" s="16">
        <f t="shared" si="41"/>
        <v>6531.5075976876542</v>
      </c>
      <c r="F158" s="16">
        <f t="shared" si="41"/>
        <v>6865.6719224142726</v>
      </c>
      <c r="G158" s="16">
        <f t="shared" si="41"/>
        <v>7216.932728198386</v>
      </c>
      <c r="H158" s="16">
        <f t="shared" si="41"/>
        <v>7586.1647034577327</v>
      </c>
      <c r="I158" s="16">
        <f t="shared" si="41"/>
        <v>7974.2872873301385</v>
      </c>
      <c r="J158" s="16">
        <f t="shared" si="41"/>
        <v>8382.2669592040766</v>
      </c>
      <c r="K158" s="16">
        <f t="shared" si="41"/>
        <v>8811.1196453883022</v>
      </c>
      <c r="L158" s="16">
        <f t="shared" si="41"/>
        <v>9261.9132489094336</v>
      </c>
      <c r="M158" s="16">
        <f t="shared" si="41"/>
        <v>9735.7703087395639</v>
      </c>
    </row>
    <row r="159" spans="1:13" ht="12.75" x14ac:dyDescent="0.2">
      <c r="A159" s="2" t="s">
        <v>64</v>
      </c>
      <c r="B159" s="1"/>
      <c r="C159" s="1"/>
      <c r="D159" s="16">
        <f t="shared" si="41"/>
        <v>5200</v>
      </c>
      <c r="E159" s="16">
        <f t="shared" si="41"/>
        <v>5304</v>
      </c>
      <c r="F159" s="16">
        <f t="shared" si="41"/>
        <v>5410.0800000000163</v>
      </c>
      <c r="G159" s="16">
        <f t="shared" si="41"/>
        <v>5518.2815999999875</v>
      </c>
      <c r="H159" s="16">
        <f t="shared" si="41"/>
        <v>5628.6472320000175</v>
      </c>
      <c r="I159" s="16">
        <f t="shared" si="41"/>
        <v>5741.2201766400249</v>
      </c>
      <c r="J159" s="16">
        <f t="shared" si="41"/>
        <v>5856.0445801728056</v>
      </c>
      <c r="K159" s="16">
        <f t="shared" si="41"/>
        <v>5973.1654717762722</v>
      </c>
      <c r="L159" s="16">
        <f t="shared" si="41"/>
        <v>6092.6287812117953</v>
      </c>
      <c r="M159" s="16">
        <f t="shared" si="41"/>
        <v>6214.4813568360405</v>
      </c>
    </row>
    <row r="160" spans="1:13" ht="12.75" x14ac:dyDescent="0.2">
      <c r="A160" s="2" t="s">
        <v>69</v>
      </c>
      <c r="B160" s="1"/>
      <c r="C160" s="1"/>
      <c r="D160" s="16">
        <f t="shared" si="41"/>
        <v>13661.912462153228</v>
      </c>
      <c r="E160" s="16">
        <f t="shared" si="41"/>
        <v>14307.375326535108</v>
      </c>
      <c r="F160" s="16">
        <f t="shared" si="41"/>
        <v>14973.474413741886</v>
      </c>
      <c r="G160" s="16">
        <f t="shared" si="41"/>
        <v>15661.017774451866</v>
      </c>
      <c r="H160" s="16">
        <f t="shared" si="41"/>
        <v>16370.849845996556</v>
      </c>
      <c r="I160" s="16">
        <f t="shared" si="41"/>
        <v>17103.853214876257</v>
      </c>
      <c r="J160" s="16">
        <f t="shared" si="41"/>
        <v>17860.950467466308</v>
      </c>
      <c r="K160" s="16">
        <f t="shared" si="41"/>
        <v>18643.106133388981</v>
      </c>
      <c r="L160" s="16">
        <f t="shared" si="41"/>
        <v>19451.328726248408</v>
      </c>
      <c r="M160" s="16">
        <f t="shared" si="41"/>
        <v>20286.672886671127</v>
      </c>
    </row>
    <row r="161" spans="1:13" ht="12.75" x14ac:dyDescent="0.2">
      <c r="A161" s="1"/>
      <c r="B161" s="1"/>
      <c r="C161" s="1"/>
      <c r="D161" s="3"/>
      <c r="E161" s="3"/>
      <c r="F161" s="3"/>
      <c r="G161" s="3"/>
      <c r="H161" s="3"/>
      <c r="I161" s="3"/>
      <c r="J161" s="3"/>
      <c r="K161" s="3"/>
      <c r="L161" s="3"/>
      <c r="M161" s="3"/>
    </row>
    <row r="162" spans="1:13" ht="12.75" x14ac:dyDescent="0.2">
      <c r="A162" s="2" t="s">
        <v>70</v>
      </c>
      <c r="B162" s="1"/>
      <c r="C162" s="1"/>
      <c r="D162" s="3"/>
      <c r="E162" s="3"/>
      <c r="F162" s="3"/>
      <c r="G162" s="3"/>
      <c r="H162" s="3"/>
      <c r="I162" s="3"/>
      <c r="J162" s="3"/>
      <c r="K162" s="3"/>
      <c r="L162" s="3"/>
      <c r="M162" s="3"/>
    </row>
    <row r="163" spans="1:13" ht="12.75" x14ac:dyDescent="0.2">
      <c r="A163" s="2" t="s">
        <v>152</v>
      </c>
      <c r="B163" s="1"/>
      <c r="C163" s="1"/>
      <c r="D163" s="16">
        <f>D128+$H48</f>
        <v>260000</v>
      </c>
      <c r="E163" s="16">
        <f t="shared" ref="E163:M163" si="42">E128+$H48</f>
        <v>265200</v>
      </c>
      <c r="F163" s="16">
        <f t="shared" si="42"/>
        <v>270504</v>
      </c>
      <c r="G163" s="16">
        <f t="shared" si="42"/>
        <v>275914.08</v>
      </c>
      <c r="H163" s="16">
        <f t="shared" si="42"/>
        <v>281432.3616</v>
      </c>
      <c r="I163" s="16">
        <f t="shared" si="42"/>
        <v>287061.00883200002</v>
      </c>
      <c r="J163" s="16">
        <f t="shared" si="42"/>
        <v>292802.22900864005</v>
      </c>
      <c r="K163" s="16">
        <f t="shared" si="42"/>
        <v>298658.27358881285</v>
      </c>
      <c r="L163" s="16">
        <f t="shared" si="42"/>
        <v>304631.43906058912</v>
      </c>
      <c r="M163" s="16">
        <f t="shared" si="42"/>
        <v>310724.06784180092</v>
      </c>
    </row>
    <row r="164" spans="1:13" ht="12.75" x14ac:dyDescent="0.2">
      <c r="A164" s="2" t="s">
        <v>71</v>
      </c>
      <c r="B164" s="1"/>
      <c r="C164" s="1"/>
      <c r="D164" s="16">
        <f t="shared" ref="D164:M164" si="43">D116</f>
        <v>208000</v>
      </c>
      <c r="E164" s="16">
        <f t="shared" si="43"/>
        <v>201786.39236177629</v>
      </c>
      <c r="F164" s="16">
        <f t="shared" si="43"/>
        <v>195254.88476408864</v>
      </c>
      <c r="G164" s="16">
        <f t="shared" si="43"/>
        <v>188389.21284167437</v>
      </c>
      <c r="H164" s="16">
        <f t="shared" si="43"/>
        <v>181172.28011347598</v>
      </c>
      <c r="I164" s="16">
        <f t="shared" si="43"/>
        <v>173586.11541001825</v>
      </c>
      <c r="J164" s="16">
        <f t="shared" si="43"/>
        <v>165611.82812268811</v>
      </c>
      <c r="K164" s="16">
        <f t="shared" si="43"/>
        <v>157229.56116348403</v>
      </c>
      <c r="L164" s="16">
        <f t="shared" si="43"/>
        <v>148418.44151809573</v>
      </c>
      <c r="M164" s="16">
        <f t="shared" si="43"/>
        <v>139156.5282691863</v>
      </c>
    </row>
    <row r="165" spans="1:13" ht="12.75" x14ac:dyDescent="0.2">
      <c r="A165" s="2" t="s">
        <v>72</v>
      </c>
      <c r="B165" s="1"/>
      <c r="C165" s="1"/>
      <c r="D165" s="16">
        <f t="shared" ref="D165:M165" si="44">D163-D164</f>
        <v>52000</v>
      </c>
      <c r="E165" s="16">
        <f t="shared" si="44"/>
        <v>63413.607638223708</v>
      </c>
      <c r="F165" s="16">
        <f t="shared" si="44"/>
        <v>75249.115235911362</v>
      </c>
      <c r="G165" s="16">
        <f t="shared" si="44"/>
        <v>87524.867158325651</v>
      </c>
      <c r="H165" s="16">
        <f t="shared" si="44"/>
        <v>100260.08148652402</v>
      </c>
      <c r="I165" s="16">
        <f t="shared" si="44"/>
        <v>113474.89342198177</v>
      </c>
      <c r="J165" s="16">
        <f t="shared" si="44"/>
        <v>127190.40088595194</v>
      </c>
      <c r="K165" s="16">
        <f t="shared" si="44"/>
        <v>141428.71242532882</v>
      </c>
      <c r="L165" s="16">
        <f t="shared" si="44"/>
        <v>156212.99754249339</v>
      </c>
      <c r="M165" s="16">
        <f t="shared" si="44"/>
        <v>171567.53957261462</v>
      </c>
    </row>
    <row r="166" spans="1:13" ht="12.75" x14ac:dyDescent="0.2">
      <c r="A166" s="1"/>
      <c r="B166" s="1"/>
      <c r="C166" s="1"/>
      <c r="D166" s="3"/>
      <c r="E166" s="3"/>
      <c r="F166" s="3"/>
      <c r="G166" s="3"/>
      <c r="H166" s="3"/>
      <c r="I166" s="3"/>
      <c r="J166" s="3"/>
      <c r="K166" s="3"/>
      <c r="L166" s="3"/>
      <c r="M166" s="3"/>
    </row>
    <row r="167" spans="1:13" ht="12.75" x14ac:dyDescent="0.2">
      <c r="A167" s="2" t="s">
        <v>73</v>
      </c>
      <c r="B167" s="1"/>
      <c r="C167" s="1"/>
      <c r="D167" s="14">
        <f t="shared" ref="D167:M167" si="45">D160/D165</f>
        <v>0.26272908581063903</v>
      </c>
      <c r="E167" s="14">
        <f t="shared" si="45"/>
        <v>0.22561995539126331</v>
      </c>
      <c r="F167" s="14">
        <f t="shared" si="45"/>
        <v>0.19898538829059945</v>
      </c>
      <c r="G167" s="14">
        <f t="shared" si="45"/>
        <v>0.17893220844451335</v>
      </c>
      <c r="H167" s="14">
        <f t="shared" si="45"/>
        <v>0.16328382745426917</v>
      </c>
      <c r="I167" s="14">
        <f t="shared" si="45"/>
        <v>0.15072808353537512</v>
      </c>
      <c r="J167" s="14">
        <f t="shared" si="45"/>
        <v>0.14042687453655972</v>
      </c>
      <c r="K167" s="14">
        <f t="shared" si="45"/>
        <v>0.13181981093996117</v>
      </c>
      <c r="L167" s="14">
        <f t="shared" si="45"/>
        <v>0.12451799166684076</v>
      </c>
      <c r="M167" s="14">
        <f t="shared" si="45"/>
        <v>0.11824307172094725</v>
      </c>
    </row>
    <row r="168" spans="1:13" ht="12.75" x14ac:dyDescent="0.2">
      <c r="A168" s="1"/>
      <c r="B168" s="1"/>
      <c r="C168" s="1"/>
      <c r="D168" s="3"/>
      <c r="E168" s="3"/>
      <c r="F168" s="3"/>
      <c r="G168" s="3"/>
      <c r="H168" s="3"/>
      <c r="I168" s="3"/>
      <c r="J168" s="3"/>
      <c r="K168" s="3"/>
      <c r="L168" s="3"/>
      <c r="M168" s="3"/>
    </row>
    <row r="169" spans="1:13" ht="12.75" x14ac:dyDescent="0.2">
      <c r="A169" s="1"/>
      <c r="B169" s="1"/>
      <c r="C169" s="1"/>
      <c r="D169" s="3"/>
      <c r="E169" s="2" t="s">
        <v>107</v>
      </c>
      <c r="F169" s="3"/>
      <c r="G169" s="3"/>
      <c r="H169" s="3"/>
      <c r="I169" s="3"/>
      <c r="J169" s="3"/>
      <c r="K169" s="3"/>
      <c r="L169" s="3"/>
      <c r="M169" s="3"/>
    </row>
    <row r="170" spans="1:13" ht="12.75" x14ac:dyDescent="0.2">
      <c r="A170" s="1"/>
      <c r="B170" s="1"/>
      <c r="C170" s="1"/>
      <c r="D170" s="3"/>
      <c r="E170" s="3"/>
      <c r="F170" s="3"/>
      <c r="G170" s="3"/>
      <c r="H170" s="3"/>
      <c r="I170" s="3"/>
      <c r="J170" s="3"/>
      <c r="K170" s="3"/>
      <c r="L170" s="3"/>
      <c r="M170" s="3"/>
    </row>
    <row r="171" spans="1:13" ht="12.75" x14ac:dyDescent="0.2">
      <c r="A171" s="1"/>
      <c r="B171" s="1"/>
      <c r="C171" s="1"/>
      <c r="D171" s="31" t="s">
        <v>142</v>
      </c>
      <c r="E171" s="31" t="s">
        <v>117</v>
      </c>
      <c r="F171" s="31" t="s">
        <v>118</v>
      </c>
      <c r="G171" s="31" t="s">
        <v>119</v>
      </c>
      <c r="H171" s="31" t="s">
        <v>120</v>
      </c>
      <c r="I171" s="31" t="s">
        <v>121</v>
      </c>
      <c r="J171" s="31" t="s">
        <v>122</v>
      </c>
      <c r="K171" s="31" t="s">
        <v>123</v>
      </c>
      <c r="L171" s="31" t="s">
        <v>124</v>
      </c>
      <c r="M171" s="31" t="s">
        <v>125</v>
      </c>
    </row>
    <row r="172" spans="1:13" ht="12.75" x14ac:dyDescent="0.2">
      <c r="A172" s="2" t="s">
        <v>74</v>
      </c>
      <c r="B172" s="1"/>
      <c r="C172" s="1"/>
      <c r="D172" s="3"/>
      <c r="E172" s="3"/>
      <c r="F172" s="3"/>
      <c r="G172" s="3"/>
      <c r="H172" s="3"/>
      <c r="I172" s="3"/>
      <c r="J172" s="3"/>
      <c r="K172" s="3"/>
      <c r="L172" s="3"/>
      <c r="M172" s="3"/>
    </row>
    <row r="173" spans="1:13" ht="12.75" x14ac:dyDescent="0.2">
      <c r="A173" s="2" t="s">
        <v>75</v>
      </c>
      <c r="B173" s="1"/>
      <c r="C173" s="1"/>
      <c r="D173" s="16">
        <f>B56+B59</f>
        <v>262600</v>
      </c>
      <c r="E173" s="16">
        <f t="shared" ref="E173:M173" si="46">D173</f>
        <v>262600</v>
      </c>
      <c r="F173" s="16">
        <f t="shared" si="46"/>
        <v>262600</v>
      </c>
      <c r="G173" s="16">
        <f t="shared" si="46"/>
        <v>262600</v>
      </c>
      <c r="H173" s="16">
        <f t="shared" si="46"/>
        <v>262600</v>
      </c>
      <c r="I173" s="16">
        <f t="shared" si="46"/>
        <v>262600</v>
      </c>
      <c r="J173" s="16">
        <f t="shared" si="46"/>
        <v>262600</v>
      </c>
      <c r="K173" s="16">
        <f t="shared" si="46"/>
        <v>262600</v>
      </c>
      <c r="L173" s="16">
        <f t="shared" si="46"/>
        <v>262600</v>
      </c>
      <c r="M173" s="16">
        <f t="shared" si="46"/>
        <v>262600</v>
      </c>
    </row>
    <row r="174" spans="1:13" ht="12.75" x14ac:dyDescent="0.2">
      <c r="A174" s="2" t="s">
        <v>76</v>
      </c>
      <c r="B174" s="1"/>
      <c r="C174" s="1"/>
      <c r="D174" s="16">
        <f>H48</f>
        <v>0</v>
      </c>
      <c r="E174" s="16">
        <f>H48</f>
        <v>0</v>
      </c>
      <c r="F174" s="16">
        <f>H48</f>
        <v>0</v>
      </c>
      <c r="G174" s="16">
        <f>H48</f>
        <v>0</v>
      </c>
      <c r="H174" s="16">
        <f>H48</f>
        <v>0</v>
      </c>
      <c r="I174" s="16">
        <f>H48</f>
        <v>0</v>
      </c>
      <c r="J174" s="16">
        <f>H48</f>
        <v>0</v>
      </c>
      <c r="K174" s="16">
        <f>H48</f>
        <v>0</v>
      </c>
      <c r="L174" s="16">
        <f>H48</f>
        <v>0</v>
      </c>
      <c r="M174" s="16">
        <f>H48</f>
        <v>0</v>
      </c>
    </row>
    <row r="175" spans="1:13" ht="12.75" x14ac:dyDescent="0.2">
      <c r="A175" s="2" t="s">
        <v>77</v>
      </c>
      <c r="B175" s="1"/>
      <c r="C175" s="18">
        <f>H50/100</f>
        <v>0.06</v>
      </c>
      <c r="D175" s="16">
        <f>C175*D129</f>
        <v>15912</v>
      </c>
      <c r="E175" s="16">
        <f>C175*E129</f>
        <v>16230.24</v>
      </c>
      <c r="F175" s="16">
        <f>C175*F129</f>
        <v>16554.844799999999</v>
      </c>
      <c r="G175" s="16">
        <f>C175*G129</f>
        <v>16885.941695999998</v>
      </c>
      <c r="H175" s="16">
        <f>C175*H129</f>
        <v>17223.660529920002</v>
      </c>
      <c r="I175" s="16">
        <f>C175*I129</f>
        <v>17568.133740518402</v>
      </c>
      <c r="J175" s="16">
        <f>C175*J129</f>
        <v>17919.496415328769</v>
      </c>
      <c r="K175" s="16">
        <f>C175*K129</f>
        <v>18277.886343635346</v>
      </c>
      <c r="L175" s="16">
        <f>C175*L129</f>
        <v>18643.444070508056</v>
      </c>
      <c r="M175" s="16">
        <f>C175*M129</f>
        <v>19016.312951918218</v>
      </c>
    </row>
    <row r="176" spans="1:13" ht="12.75" x14ac:dyDescent="0.2">
      <c r="A176" s="2" t="s">
        <v>78</v>
      </c>
      <c r="B176" s="1"/>
      <c r="C176" s="1"/>
      <c r="D176" s="16">
        <f>D107</f>
        <v>8130.909090909091</v>
      </c>
      <c r="E176" s="16">
        <f t="shared" ref="E176:M176" si="47">D176+E107</f>
        <v>16261.818181818182</v>
      </c>
      <c r="F176" s="16">
        <f t="shared" si="47"/>
        <v>24392.727272727272</v>
      </c>
      <c r="G176" s="16">
        <f t="shared" si="47"/>
        <v>32523.636363636364</v>
      </c>
      <c r="H176" s="16">
        <f t="shared" si="47"/>
        <v>40654.545454545456</v>
      </c>
      <c r="I176" s="16">
        <f t="shared" si="47"/>
        <v>48785.454545454544</v>
      </c>
      <c r="J176" s="16">
        <f t="shared" si="47"/>
        <v>56916.363636363632</v>
      </c>
      <c r="K176" s="16">
        <f t="shared" si="47"/>
        <v>65047.272727272721</v>
      </c>
      <c r="L176" s="16">
        <f t="shared" si="47"/>
        <v>73178.181818181809</v>
      </c>
      <c r="M176" s="16">
        <f t="shared" si="47"/>
        <v>81309.090909090897</v>
      </c>
    </row>
    <row r="177" spans="1:13" ht="12.75" x14ac:dyDescent="0.2">
      <c r="A177" s="2" t="s">
        <v>79</v>
      </c>
      <c r="B177" s="1"/>
      <c r="C177" s="1"/>
      <c r="D177" s="16">
        <f t="shared" ref="D177:M177" si="48">D173+D174+D175-D176</f>
        <v>270381.09090909088</v>
      </c>
      <c r="E177" s="16">
        <f t="shared" si="48"/>
        <v>262568.42181818181</v>
      </c>
      <c r="F177" s="16">
        <f t="shared" si="48"/>
        <v>254762.11752727276</v>
      </c>
      <c r="G177" s="16">
        <f t="shared" si="48"/>
        <v>246962.30533236364</v>
      </c>
      <c r="H177" s="16">
        <f t="shared" si="48"/>
        <v>239169.11507537455</v>
      </c>
      <c r="I177" s="16">
        <f t="shared" si="48"/>
        <v>231382.67919506389</v>
      </c>
      <c r="J177" s="16">
        <f t="shared" si="48"/>
        <v>223603.13277896511</v>
      </c>
      <c r="K177" s="16">
        <f t="shared" si="48"/>
        <v>215830.61361636262</v>
      </c>
      <c r="L177" s="16">
        <f t="shared" si="48"/>
        <v>208065.26225232624</v>
      </c>
      <c r="M177" s="16">
        <f t="shared" si="48"/>
        <v>200307.22204282734</v>
      </c>
    </row>
    <row r="178" spans="1:13" ht="12.75" x14ac:dyDescent="0.2">
      <c r="A178" s="1"/>
      <c r="B178" s="1"/>
      <c r="C178" s="1"/>
      <c r="D178" s="3"/>
      <c r="E178" s="3"/>
      <c r="F178" s="3"/>
      <c r="G178" s="3"/>
      <c r="H178" s="3"/>
      <c r="I178" s="3"/>
      <c r="J178" s="3"/>
      <c r="K178" s="3"/>
      <c r="L178" s="3"/>
      <c r="M178" s="3"/>
    </row>
    <row r="179" spans="1:13" ht="12.75" x14ac:dyDescent="0.2">
      <c r="A179" s="1" t="s">
        <v>171</v>
      </c>
      <c r="B179" s="1"/>
      <c r="C179" s="1"/>
      <c r="D179" s="3"/>
      <c r="E179" s="3"/>
      <c r="F179" s="3"/>
      <c r="G179" s="3"/>
      <c r="H179" s="3"/>
      <c r="I179" s="3"/>
      <c r="J179" s="3"/>
      <c r="K179" s="3"/>
      <c r="L179" s="3"/>
      <c r="M179" s="3"/>
    </row>
    <row r="180" spans="1:13" ht="12.75" x14ac:dyDescent="0.2">
      <c r="A180" s="1" t="s">
        <v>80</v>
      </c>
      <c r="B180" s="1"/>
      <c r="C180" s="1"/>
      <c r="D180" s="16">
        <f>D129</f>
        <v>265200</v>
      </c>
      <c r="E180" s="16">
        <f t="shared" ref="E180:M180" si="49">E129</f>
        <v>270504</v>
      </c>
      <c r="F180" s="16">
        <f t="shared" si="49"/>
        <v>275914.08</v>
      </c>
      <c r="G180" s="16">
        <f t="shared" si="49"/>
        <v>281432.3616</v>
      </c>
      <c r="H180" s="16">
        <f t="shared" si="49"/>
        <v>287061.00883200002</v>
      </c>
      <c r="I180" s="16">
        <f t="shared" si="49"/>
        <v>292802.22900864005</v>
      </c>
      <c r="J180" s="16">
        <f t="shared" si="49"/>
        <v>298658.27358881285</v>
      </c>
      <c r="K180" s="16">
        <f t="shared" si="49"/>
        <v>304631.43906058912</v>
      </c>
      <c r="L180" s="16">
        <f t="shared" si="49"/>
        <v>310724.06784180092</v>
      </c>
      <c r="M180" s="16">
        <f t="shared" si="49"/>
        <v>316938.54919863696</v>
      </c>
    </row>
    <row r="181" spans="1:13" ht="12.75" x14ac:dyDescent="0.2">
      <c r="A181" s="1" t="s">
        <v>172</v>
      </c>
      <c r="B181" s="1"/>
      <c r="C181" s="1"/>
      <c r="D181" s="16">
        <f>D173+D174+D175</f>
        <v>278512</v>
      </c>
      <c r="E181" s="16">
        <f t="shared" ref="E181:M181" si="50">E173+E174+E175</f>
        <v>278830.24</v>
      </c>
      <c r="F181" s="16">
        <f t="shared" si="50"/>
        <v>279154.84480000002</v>
      </c>
      <c r="G181" s="16">
        <f t="shared" si="50"/>
        <v>279485.94169599999</v>
      </c>
      <c r="H181" s="16">
        <f t="shared" si="50"/>
        <v>279823.66052992002</v>
      </c>
      <c r="I181" s="16">
        <f t="shared" si="50"/>
        <v>280168.13374051842</v>
      </c>
      <c r="J181" s="16">
        <f t="shared" si="50"/>
        <v>280519.49641532876</v>
      </c>
      <c r="K181" s="16">
        <f t="shared" si="50"/>
        <v>280877.88634363533</v>
      </c>
      <c r="L181" s="16">
        <f t="shared" si="50"/>
        <v>281243.44407050806</v>
      </c>
      <c r="M181" s="16">
        <f t="shared" si="50"/>
        <v>281616.31295191823</v>
      </c>
    </row>
    <row r="182" spans="1:13" ht="12.75" x14ac:dyDescent="0.2">
      <c r="A182" s="1" t="s">
        <v>173</v>
      </c>
      <c r="B182" s="1"/>
      <c r="C182" s="1"/>
      <c r="D182" s="16">
        <f>D180-D181</f>
        <v>-13312</v>
      </c>
      <c r="E182" s="16">
        <f t="shared" ref="E182:M182" si="51">E180-E181</f>
        <v>-8326.2399999999907</v>
      </c>
      <c r="F182" s="16">
        <f t="shared" si="51"/>
        <v>-3240.7648000000045</v>
      </c>
      <c r="G182" s="16">
        <f t="shared" si="51"/>
        <v>1946.4199040000094</v>
      </c>
      <c r="H182" s="16">
        <f t="shared" si="51"/>
        <v>7237.3483020800049</v>
      </c>
      <c r="I182" s="16">
        <f t="shared" si="51"/>
        <v>12634.095268121629</v>
      </c>
      <c r="J182" s="16">
        <f t="shared" si="51"/>
        <v>18138.777173484094</v>
      </c>
      <c r="K182" s="16">
        <f t="shared" si="51"/>
        <v>23753.552716953796</v>
      </c>
      <c r="L182" s="16">
        <f t="shared" si="51"/>
        <v>29480.623771292856</v>
      </c>
      <c r="M182" s="16">
        <f t="shared" si="51"/>
        <v>35322.236246718734</v>
      </c>
    </row>
    <row r="183" spans="1:13" ht="12.75" x14ac:dyDescent="0.2">
      <c r="A183" s="1"/>
      <c r="B183" s="1"/>
      <c r="C183" s="1"/>
      <c r="D183" s="3"/>
      <c r="E183" s="3"/>
      <c r="F183" s="3"/>
      <c r="G183" s="3"/>
      <c r="H183" s="3"/>
      <c r="I183" s="3"/>
      <c r="J183" s="3"/>
      <c r="K183" s="3"/>
      <c r="L183" s="3"/>
      <c r="M183" s="3"/>
    </row>
    <row r="184" spans="1:13" ht="12.75" x14ac:dyDescent="0.2">
      <c r="A184" s="2" t="s">
        <v>170</v>
      </c>
      <c r="B184" s="1"/>
      <c r="C184" s="1"/>
      <c r="D184" s="3"/>
      <c r="E184" s="3"/>
      <c r="F184" s="3"/>
      <c r="G184" s="3"/>
      <c r="H184" s="3"/>
      <c r="I184" s="3"/>
      <c r="J184" s="3"/>
      <c r="K184" s="3"/>
      <c r="L184" s="3"/>
      <c r="M184" s="3"/>
    </row>
    <row r="185" spans="1:13" ht="12.75" x14ac:dyDescent="0.2">
      <c r="A185" s="2" t="s">
        <v>80</v>
      </c>
      <c r="B185" s="1"/>
      <c r="C185" s="1"/>
      <c r="D185" s="16">
        <f t="shared" ref="D185:M185" si="52">D129</f>
        <v>265200</v>
      </c>
      <c r="E185" s="16">
        <f t="shared" si="52"/>
        <v>270504</v>
      </c>
      <c r="F185" s="16">
        <f t="shared" si="52"/>
        <v>275914.08</v>
      </c>
      <c r="G185" s="16">
        <f t="shared" si="52"/>
        <v>281432.3616</v>
      </c>
      <c r="H185" s="16">
        <f t="shared" si="52"/>
        <v>287061.00883200002</v>
      </c>
      <c r="I185" s="16">
        <f t="shared" si="52"/>
        <v>292802.22900864005</v>
      </c>
      <c r="J185" s="16">
        <f t="shared" si="52"/>
        <v>298658.27358881285</v>
      </c>
      <c r="K185" s="16">
        <f t="shared" si="52"/>
        <v>304631.43906058912</v>
      </c>
      <c r="L185" s="16">
        <f t="shared" si="52"/>
        <v>310724.06784180092</v>
      </c>
      <c r="M185" s="16">
        <f t="shared" si="52"/>
        <v>316938.54919863696</v>
      </c>
    </row>
    <row r="186" spans="1:13" ht="12.75" x14ac:dyDescent="0.2">
      <c r="A186" s="2" t="s">
        <v>81</v>
      </c>
      <c r="B186" s="1"/>
      <c r="C186" s="1"/>
      <c r="D186" s="16">
        <f t="shared" ref="D186:M186" si="53">D177</f>
        <v>270381.09090909088</v>
      </c>
      <c r="E186" s="16">
        <f t="shared" si="53"/>
        <v>262568.42181818181</v>
      </c>
      <c r="F186" s="16">
        <f t="shared" si="53"/>
        <v>254762.11752727276</v>
      </c>
      <c r="G186" s="16">
        <f t="shared" si="53"/>
        <v>246962.30533236364</v>
      </c>
      <c r="H186" s="16">
        <f t="shared" si="53"/>
        <v>239169.11507537455</v>
      </c>
      <c r="I186" s="16">
        <f t="shared" si="53"/>
        <v>231382.67919506389</v>
      </c>
      <c r="J186" s="16">
        <f t="shared" si="53"/>
        <v>223603.13277896511</v>
      </c>
      <c r="K186" s="16">
        <f t="shared" si="53"/>
        <v>215830.61361636262</v>
      </c>
      <c r="L186" s="16">
        <f t="shared" si="53"/>
        <v>208065.26225232624</v>
      </c>
      <c r="M186" s="16">
        <f t="shared" si="53"/>
        <v>200307.22204282734</v>
      </c>
    </row>
    <row r="187" spans="1:13" ht="12.75" x14ac:dyDescent="0.2">
      <c r="A187" s="2" t="s">
        <v>176</v>
      </c>
      <c r="B187" s="1"/>
      <c r="C187" s="1"/>
      <c r="D187" s="16">
        <f t="shared" ref="D187:M187" si="54">D185-D186</f>
        <v>-5181.0909090908826</v>
      </c>
      <c r="E187" s="16">
        <f t="shared" si="54"/>
        <v>7935.5781818181858</v>
      </c>
      <c r="F187" s="16">
        <f t="shared" si="54"/>
        <v>21151.96247272726</v>
      </c>
      <c r="G187" s="16">
        <f t="shared" si="54"/>
        <v>34470.056267636362</v>
      </c>
      <c r="H187" s="16">
        <f t="shared" si="54"/>
        <v>47891.893756625475</v>
      </c>
      <c r="I187" s="16">
        <f t="shared" si="54"/>
        <v>61419.549813576159</v>
      </c>
      <c r="J187" s="16">
        <f t="shared" si="54"/>
        <v>75055.14080984774</v>
      </c>
      <c r="K187" s="16">
        <f t="shared" si="54"/>
        <v>88800.825444226502</v>
      </c>
      <c r="L187" s="16">
        <f t="shared" si="54"/>
        <v>102658.80558947468</v>
      </c>
      <c r="M187" s="16">
        <f t="shared" si="54"/>
        <v>116631.32715580962</v>
      </c>
    </row>
    <row r="188" spans="1:13" ht="12.75" x14ac:dyDescent="0.2">
      <c r="A188" s="1"/>
      <c r="B188" s="1"/>
      <c r="C188" s="1"/>
      <c r="D188" s="3"/>
      <c r="E188" s="3"/>
      <c r="F188" s="3"/>
      <c r="G188" s="3"/>
      <c r="H188" s="3"/>
      <c r="I188" s="3"/>
      <c r="J188" s="3"/>
      <c r="K188" s="3"/>
      <c r="L188" s="3"/>
      <c r="M188" s="3"/>
    </row>
    <row r="189" spans="1:13" ht="12.75" x14ac:dyDescent="0.2">
      <c r="A189" s="2" t="s">
        <v>82</v>
      </c>
      <c r="B189" s="1"/>
      <c r="C189" s="1"/>
      <c r="D189" s="3"/>
      <c r="E189" s="3"/>
      <c r="F189" s="3"/>
      <c r="G189" s="3"/>
      <c r="H189" s="3"/>
      <c r="I189" s="3"/>
      <c r="J189" s="3"/>
      <c r="K189" s="3"/>
      <c r="L189" s="3"/>
      <c r="M189" s="3"/>
    </row>
    <row r="190" spans="1:13" ht="12.75" x14ac:dyDescent="0.2">
      <c r="A190" s="2" t="s">
        <v>175</v>
      </c>
      <c r="B190" s="1"/>
      <c r="C190" s="1"/>
      <c r="D190" s="16">
        <f t="shared" ref="D190:M190" si="55">D187</f>
        <v>-5181.0909090908826</v>
      </c>
      <c r="E190" s="16">
        <f t="shared" si="55"/>
        <v>7935.5781818181858</v>
      </c>
      <c r="F190" s="16">
        <f t="shared" si="55"/>
        <v>21151.96247272726</v>
      </c>
      <c r="G190" s="16">
        <f t="shared" si="55"/>
        <v>34470.056267636362</v>
      </c>
      <c r="H190" s="16">
        <f t="shared" si="55"/>
        <v>47891.893756625475</v>
      </c>
      <c r="I190" s="16">
        <f t="shared" si="55"/>
        <v>61419.549813576159</v>
      </c>
      <c r="J190" s="16">
        <f t="shared" si="55"/>
        <v>75055.14080984774</v>
      </c>
      <c r="K190" s="16">
        <f t="shared" si="55"/>
        <v>88800.825444226502</v>
      </c>
      <c r="L190" s="16">
        <f t="shared" si="55"/>
        <v>102658.80558947468</v>
      </c>
      <c r="M190" s="16">
        <f t="shared" si="55"/>
        <v>116631.32715580962</v>
      </c>
    </row>
    <row r="191" spans="1:13" ht="12.75" x14ac:dyDescent="0.2">
      <c r="A191" s="2" t="s">
        <v>83</v>
      </c>
      <c r="B191" s="1"/>
      <c r="C191" s="1"/>
      <c r="D191" s="16"/>
      <c r="E191" s="16">
        <f>((E176*$H$47)+(E182*$H$46))/100</f>
        <v>2400.2065454545473</v>
      </c>
      <c r="F191" s="16">
        <f t="shared" ref="F191:M191" si="56">((F176*$H$47)+(F182*$H$46))/100</f>
        <v>5450.0288581818168</v>
      </c>
      <c r="G191" s="16">
        <f t="shared" si="56"/>
        <v>8520.1930717090927</v>
      </c>
      <c r="H191" s="16">
        <f t="shared" si="56"/>
        <v>11611.106024052366</v>
      </c>
      <c r="I191" s="16">
        <f t="shared" si="56"/>
        <v>14723.182689987962</v>
      </c>
      <c r="J191" s="16">
        <f t="shared" si="56"/>
        <v>17856.846343787725</v>
      </c>
      <c r="K191" s="16">
        <f t="shared" si="56"/>
        <v>21012.528725208937</v>
      </c>
      <c r="L191" s="16">
        <f t="shared" si="56"/>
        <v>24190.670208804022</v>
      </c>
      <c r="M191" s="16">
        <f t="shared" si="56"/>
        <v>27391.719976616474</v>
      </c>
    </row>
    <row r="192" spans="1:13" ht="12.75" x14ac:dyDescent="0.2">
      <c r="A192" s="1"/>
      <c r="B192" s="1"/>
      <c r="C192" s="1"/>
      <c r="D192" s="3"/>
      <c r="E192" s="32"/>
      <c r="F192" s="3"/>
      <c r="G192" s="3"/>
      <c r="H192" s="3"/>
      <c r="I192" s="3"/>
      <c r="J192" s="3"/>
      <c r="K192" s="3"/>
      <c r="L192" s="3"/>
      <c r="M192" s="3"/>
    </row>
    <row r="193" spans="1:13" ht="12.75" x14ac:dyDescent="0.2">
      <c r="A193" s="2" t="s">
        <v>143</v>
      </c>
      <c r="B193" s="1"/>
      <c r="C193" s="1"/>
      <c r="D193" s="3"/>
      <c r="E193" s="3"/>
      <c r="F193" s="3"/>
      <c r="G193" s="3"/>
      <c r="H193" s="3"/>
      <c r="I193" s="3"/>
      <c r="J193" s="3"/>
      <c r="K193" s="3"/>
      <c r="L193" s="3"/>
      <c r="M193" s="3"/>
    </row>
    <row r="194" spans="1:13" ht="12.75" x14ac:dyDescent="0.2">
      <c r="A194" s="2" t="s">
        <v>80</v>
      </c>
      <c r="B194" s="1"/>
      <c r="C194" s="1"/>
      <c r="D194" s="16">
        <f t="shared" ref="D194:M194" si="57">D185</f>
        <v>265200</v>
      </c>
      <c r="E194" s="16">
        <f t="shared" si="57"/>
        <v>270504</v>
      </c>
      <c r="F194" s="16">
        <f t="shared" si="57"/>
        <v>275914.08</v>
      </c>
      <c r="G194" s="16">
        <f t="shared" si="57"/>
        <v>281432.3616</v>
      </c>
      <c r="H194" s="16">
        <f t="shared" si="57"/>
        <v>287061.00883200002</v>
      </c>
      <c r="I194" s="16">
        <f t="shared" si="57"/>
        <v>292802.22900864005</v>
      </c>
      <c r="J194" s="16">
        <f t="shared" si="57"/>
        <v>298658.27358881285</v>
      </c>
      <c r="K194" s="16">
        <f t="shared" si="57"/>
        <v>304631.43906058912</v>
      </c>
      <c r="L194" s="16">
        <f t="shared" si="57"/>
        <v>310724.06784180092</v>
      </c>
      <c r="M194" s="16">
        <f t="shared" si="57"/>
        <v>316938.54919863696</v>
      </c>
    </row>
    <row r="195" spans="1:13" ht="12.75" x14ac:dyDescent="0.2">
      <c r="A195" s="2" t="s">
        <v>84</v>
      </c>
      <c r="B195" s="1"/>
      <c r="C195" s="1"/>
      <c r="D195" s="16">
        <f t="shared" ref="D195:M195" si="58">D175</f>
        <v>15912</v>
      </c>
      <c r="E195" s="16">
        <f t="shared" si="58"/>
        <v>16230.24</v>
      </c>
      <c r="F195" s="16">
        <f t="shared" si="58"/>
        <v>16554.844799999999</v>
      </c>
      <c r="G195" s="16">
        <f t="shared" si="58"/>
        <v>16885.941695999998</v>
      </c>
      <c r="H195" s="16">
        <f t="shared" si="58"/>
        <v>17223.660529920002</v>
      </c>
      <c r="I195" s="16">
        <f t="shared" si="58"/>
        <v>17568.133740518402</v>
      </c>
      <c r="J195" s="16">
        <f t="shared" si="58"/>
        <v>17919.496415328769</v>
      </c>
      <c r="K195" s="16">
        <f t="shared" si="58"/>
        <v>18277.886343635346</v>
      </c>
      <c r="L195" s="16">
        <f t="shared" si="58"/>
        <v>18643.444070508056</v>
      </c>
      <c r="M195" s="16">
        <f t="shared" si="58"/>
        <v>19016.312951918218</v>
      </c>
    </row>
    <row r="196" spans="1:13" ht="12.75" x14ac:dyDescent="0.2">
      <c r="A196" s="2" t="s">
        <v>85</v>
      </c>
      <c r="B196" s="1"/>
      <c r="C196" s="1"/>
      <c r="D196" s="16">
        <f t="shared" ref="D196:M196" si="59">D120</f>
        <v>201786.39236177629</v>
      </c>
      <c r="E196" s="16">
        <f t="shared" si="59"/>
        <v>195254.88476408864</v>
      </c>
      <c r="F196" s="16">
        <f t="shared" si="59"/>
        <v>188389.21284167437</v>
      </c>
      <c r="G196" s="16">
        <f t="shared" si="59"/>
        <v>181172.28011347598</v>
      </c>
      <c r="H196" s="16">
        <f t="shared" si="59"/>
        <v>173586.11541001825</v>
      </c>
      <c r="I196" s="16">
        <f t="shared" si="59"/>
        <v>165611.82812268811</v>
      </c>
      <c r="J196" s="16">
        <f t="shared" si="59"/>
        <v>157229.56116348403</v>
      </c>
      <c r="K196" s="16">
        <f t="shared" si="59"/>
        <v>148418.44151809573</v>
      </c>
      <c r="L196" s="16">
        <f t="shared" si="59"/>
        <v>139156.5282691863</v>
      </c>
      <c r="M196" s="16">
        <f t="shared" si="59"/>
        <v>129420.75796044673</v>
      </c>
    </row>
    <row r="197" spans="1:13" ht="12.75" x14ac:dyDescent="0.2">
      <c r="A197" s="2" t="s">
        <v>86</v>
      </c>
      <c r="B197" s="1"/>
      <c r="C197" s="1"/>
      <c r="D197" s="16">
        <f t="shared" ref="D197:M197" si="60">D194-D195-D196</f>
        <v>47501.607638223708</v>
      </c>
      <c r="E197" s="16">
        <f t="shared" si="60"/>
        <v>59018.875235911371</v>
      </c>
      <c r="F197" s="16">
        <f t="shared" si="60"/>
        <v>70970.022358325659</v>
      </c>
      <c r="G197" s="16">
        <f t="shared" si="60"/>
        <v>83374.13979052403</v>
      </c>
      <c r="H197" s="16">
        <f t="shared" si="60"/>
        <v>96251.232892061758</v>
      </c>
      <c r="I197" s="16">
        <f t="shared" si="60"/>
        <v>109622.26714543352</v>
      </c>
      <c r="J197" s="16">
        <f t="shared" si="60"/>
        <v>123509.21601000006</v>
      </c>
      <c r="K197" s="16">
        <f t="shared" si="60"/>
        <v>137935.11119885807</v>
      </c>
      <c r="L197" s="16">
        <f t="shared" si="60"/>
        <v>152924.09550210656</v>
      </c>
      <c r="M197" s="16">
        <f t="shared" si="60"/>
        <v>168501.478286272</v>
      </c>
    </row>
    <row r="198" spans="1:13" ht="12.75" x14ac:dyDescent="0.2">
      <c r="A198" s="2" t="s">
        <v>87</v>
      </c>
      <c r="B198" s="1"/>
      <c r="C198" s="1"/>
      <c r="D198" s="16">
        <f t="shared" ref="D198:M198" si="61">D191</f>
        <v>0</v>
      </c>
      <c r="E198" s="16">
        <f t="shared" si="61"/>
        <v>2400.2065454545473</v>
      </c>
      <c r="F198" s="16">
        <f t="shared" si="61"/>
        <v>5450.0288581818168</v>
      </c>
      <c r="G198" s="16">
        <f t="shared" si="61"/>
        <v>8520.1930717090927</v>
      </c>
      <c r="H198" s="16">
        <f t="shared" si="61"/>
        <v>11611.106024052366</v>
      </c>
      <c r="I198" s="16">
        <f t="shared" si="61"/>
        <v>14723.182689987962</v>
      </c>
      <c r="J198" s="16">
        <f t="shared" si="61"/>
        <v>17856.846343787725</v>
      </c>
      <c r="K198" s="16">
        <f t="shared" si="61"/>
        <v>21012.528725208937</v>
      </c>
      <c r="L198" s="16">
        <f t="shared" si="61"/>
        <v>24190.670208804022</v>
      </c>
      <c r="M198" s="16">
        <f t="shared" si="61"/>
        <v>27391.719976616474</v>
      </c>
    </row>
    <row r="199" spans="1:13" ht="12.75" x14ac:dyDescent="0.2">
      <c r="A199" s="2" t="s">
        <v>88</v>
      </c>
      <c r="B199" s="1"/>
      <c r="C199" s="1"/>
      <c r="D199" s="16">
        <f t="shared" ref="D199:M199" si="62">D197-D198</f>
        <v>47501.607638223708</v>
      </c>
      <c r="E199" s="16">
        <f t="shared" si="62"/>
        <v>56618.668690456827</v>
      </c>
      <c r="F199" s="16">
        <f t="shared" si="62"/>
        <v>65519.993500143843</v>
      </c>
      <c r="G199" s="16">
        <f t="shared" si="62"/>
        <v>74853.946718814943</v>
      </c>
      <c r="H199" s="16">
        <f t="shared" si="62"/>
        <v>84640.126868009393</v>
      </c>
      <c r="I199" s="16">
        <f t="shared" si="62"/>
        <v>94899.084455445554</v>
      </c>
      <c r="J199" s="16">
        <f t="shared" si="62"/>
        <v>105652.36966621234</v>
      </c>
      <c r="K199" s="16">
        <f t="shared" si="62"/>
        <v>116922.58247364913</v>
      </c>
      <c r="L199" s="16">
        <f t="shared" si="62"/>
        <v>128733.42529330254</v>
      </c>
      <c r="M199" s="16">
        <f t="shared" si="62"/>
        <v>141109.75830965553</v>
      </c>
    </row>
    <row r="200" spans="1:13" ht="12.75" x14ac:dyDescent="0.2">
      <c r="A200" s="1"/>
      <c r="B200" s="1"/>
      <c r="C200" s="1"/>
      <c r="D200" s="3"/>
      <c r="E200" s="3"/>
      <c r="F200" s="3"/>
      <c r="G200" s="3"/>
      <c r="H200" s="3"/>
      <c r="I200" s="3"/>
      <c r="J200" s="3"/>
      <c r="K200" s="3"/>
      <c r="L200" s="3"/>
      <c r="M200" s="3"/>
    </row>
    <row r="201" spans="1:13" ht="12.75" hidden="1" x14ac:dyDescent="0.2">
      <c r="A201" s="1"/>
      <c r="B201" s="1"/>
      <c r="C201" s="1"/>
      <c r="D201" s="32"/>
      <c r="E201" s="32"/>
      <c r="F201" s="32"/>
      <c r="G201" s="32"/>
      <c r="H201" s="32"/>
      <c r="I201" s="32"/>
      <c r="J201" s="32"/>
      <c r="K201" s="32"/>
      <c r="L201" s="32"/>
      <c r="M201" s="32"/>
    </row>
    <row r="202" spans="1:13" ht="12.75" hidden="1" x14ac:dyDescent="0.2">
      <c r="A202" s="1"/>
      <c r="B202" s="1"/>
      <c r="C202" s="1"/>
      <c r="D202" s="33"/>
      <c r="E202" s="32"/>
      <c r="F202" s="32"/>
      <c r="G202" s="32"/>
      <c r="H202" s="32"/>
      <c r="I202" s="32"/>
      <c r="J202" s="32"/>
      <c r="K202" s="32"/>
      <c r="L202" s="32"/>
      <c r="M202" s="32"/>
    </row>
    <row r="203" spans="1:13" ht="12.75" hidden="1" x14ac:dyDescent="0.2">
      <c r="A203" s="2"/>
      <c r="B203" s="1"/>
      <c r="C203" s="1"/>
      <c r="D203" s="3"/>
      <c r="E203" s="33"/>
      <c r="F203" s="32"/>
      <c r="G203" s="32"/>
      <c r="H203" s="32"/>
      <c r="I203" s="32"/>
      <c r="J203" s="32"/>
      <c r="K203" s="32"/>
      <c r="L203" s="32"/>
      <c r="M203" s="32"/>
    </row>
    <row r="204" spans="1:13" ht="12.75" hidden="1" x14ac:dyDescent="0.2">
      <c r="A204" s="2"/>
      <c r="B204" s="1"/>
      <c r="C204" s="1"/>
      <c r="D204" s="3"/>
      <c r="E204" s="3"/>
      <c r="F204" s="33"/>
      <c r="G204" s="32"/>
      <c r="H204" s="32"/>
      <c r="I204" s="32"/>
      <c r="J204" s="32"/>
      <c r="K204" s="32"/>
      <c r="L204" s="32"/>
      <c r="M204" s="32"/>
    </row>
    <row r="205" spans="1:13" ht="12.75" hidden="1" x14ac:dyDescent="0.2">
      <c r="A205" s="2"/>
      <c r="B205" s="1"/>
      <c r="C205" s="1"/>
      <c r="D205" s="3"/>
      <c r="E205" s="3"/>
      <c r="F205" s="3"/>
      <c r="G205" s="33"/>
      <c r="H205" s="32"/>
      <c r="I205" s="32"/>
      <c r="J205" s="32"/>
      <c r="K205" s="32"/>
      <c r="L205" s="32"/>
      <c r="M205" s="32"/>
    </row>
    <row r="206" spans="1:13" ht="12.75" hidden="1" x14ac:dyDescent="0.2">
      <c r="A206" s="2"/>
      <c r="B206" s="1"/>
      <c r="C206" s="1"/>
      <c r="D206" s="3"/>
      <c r="E206" s="3"/>
      <c r="F206" s="3"/>
      <c r="G206" s="3"/>
      <c r="H206" s="33"/>
      <c r="I206" s="32"/>
      <c r="J206" s="32"/>
      <c r="K206" s="32"/>
      <c r="L206" s="32"/>
      <c r="M206" s="32"/>
    </row>
    <row r="207" spans="1:13" ht="12.75" hidden="1" x14ac:dyDescent="0.2">
      <c r="A207" s="1"/>
      <c r="B207" s="1"/>
      <c r="C207" s="1"/>
      <c r="D207" s="3"/>
      <c r="E207" s="3"/>
      <c r="F207" s="3"/>
      <c r="G207" s="3"/>
      <c r="H207" s="3"/>
      <c r="I207" s="33"/>
      <c r="J207" s="32"/>
      <c r="K207" s="32"/>
      <c r="L207" s="32"/>
      <c r="M207" s="32"/>
    </row>
    <row r="208" spans="1:13" ht="12.75" hidden="1" x14ac:dyDescent="0.2">
      <c r="A208" s="1"/>
      <c r="B208" s="1"/>
      <c r="C208" s="1"/>
      <c r="D208" s="3"/>
      <c r="E208" s="3"/>
      <c r="F208" s="3"/>
      <c r="G208" s="3"/>
      <c r="H208" s="3"/>
      <c r="I208" s="3"/>
      <c r="J208" s="33"/>
      <c r="K208" s="32"/>
      <c r="L208" s="32"/>
      <c r="M208" s="32"/>
    </row>
    <row r="209" spans="1:13" ht="12.75" hidden="1" x14ac:dyDescent="0.2">
      <c r="A209" s="1"/>
      <c r="B209" s="1"/>
      <c r="C209" s="1"/>
      <c r="D209" s="3"/>
      <c r="E209" s="3"/>
      <c r="F209" s="3"/>
      <c r="G209" s="3"/>
      <c r="H209" s="3"/>
      <c r="I209" s="3"/>
      <c r="J209" s="3"/>
      <c r="K209" s="33"/>
      <c r="L209" s="32"/>
      <c r="M209" s="32"/>
    </row>
    <row r="210" spans="1:13" ht="12.75" hidden="1" x14ac:dyDescent="0.2">
      <c r="A210" s="1"/>
      <c r="B210" s="1"/>
      <c r="C210" s="1"/>
      <c r="D210" s="3"/>
      <c r="E210" s="3"/>
      <c r="F210" s="3"/>
      <c r="G210" s="3"/>
      <c r="H210" s="3"/>
      <c r="I210" s="3"/>
      <c r="J210" s="3"/>
      <c r="K210" s="3"/>
      <c r="L210" s="33"/>
      <c r="M210" s="32"/>
    </row>
    <row r="211" spans="1:13" ht="12.75" hidden="1" x14ac:dyDescent="0.2">
      <c r="A211" s="1"/>
      <c r="B211" s="1"/>
      <c r="C211" s="1"/>
      <c r="D211" s="3"/>
      <c r="E211" s="3"/>
      <c r="F211" s="3"/>
      <c r="G211" s="3"/>
      <c r="H211" s="3"/>
      <c r="I211" s="3"/>
      <c r="J211" s="3"/>
      <c r="K211" s="3"/>
      <c r="L211" s="3"/>
      <c r="M211" s="33"/>
    </row>
    <row r="212" spans="1:13" ht="12.75" x14ac:dyDescent="0.2">
      <c r="A212" s="1" t="s">
        <v>174</v>
      </c>
      <c r="B212" s="1"/>
      <c r="C212" s="1"/>
      <c r="D212" s="3"/>
      <c r="E212" s="3"/>
      <c r="F212" s="3"/>
      <c r="G212" s="3"/>
      <c r="H212" s="3"/>
      <c r="I212" s="3"/>
      <c r="J212" s="3"/>
      <c r="K212" s="3"/>
      <c r="L212" s="3"/>
      <c r="M212" s="3"/>
    </row>
    <row r="213" spans="1:13" ht="12.75" x14ac:dyDescent="0.2">
      <c r="A213" s="1"/>
      <c r="B213" s="1"/>
      <c r="C213" s="1"/>
      <c r="D213" s="3"/>
      <c r="E213" s="3"/>
      <c r="F213" s="2" t="s">
        <v>109</v>
      </c>
      <c r="G213" s="3"/>
      <c r="H213" s="3"/>
      <c r="I213" s="3"/>
      <c r="J213" s="3"/>
      <c r="K213" s="3"/>
      <c r="L213" s="3"/>
      <c r="M213" s="3"/>
    </row>
    <row r="214" spans="1:13" ht="12.75" x14ac:dyDescent="0.2">
      <c r="A214" s="1"/>
      <c r="B214" s="1"/>
      <c r="C214" s="1"/>
      <c r="D214" s="3"/>
      <c r="E214" s="3"/>
      <c r="F214" s="3"/>
      <c r="G214" s="3"/>
      <c r="H214" s="3"/>
      <c r="I214" s="3"/>
      <c r="J214" s="3"/>
      <c r="K214" s="3"/>
      <c r="L214" s="3"/>
      <c r="M214" s="3"/>
    </row>
    <row r="215" spans="1:13" ht="12.75" x14ac:dyDescent="0.2">
      <c r="A215" s="2"/>
      <c r="B215" s="1"/>
      <c r="C215" s="1"/>
      <c r="D215" s="31" t="s">
        <v>142</v>
      </c>
      <c r="E215" s="31" t="s">
        <v>117</v>
      </c>
      <c r="F215" s="31" t="s">
        <v>118</v>
      </c>
      <c r="G215" s="31" t="s">
        <v>119</v>
      </c>
      <c r="H215" s="31" t="s">
        <v>120</v>
      </c>
      <c r="I215" s="31" t="s">
        <v>121</v>
      </c>
      <c r="J215" s="31" t="s">
        <v>122</v>
      </c>
      <c r="K215" s="31" t="s">
        <v>123</v>
      </c>
      <c r="L215" s="31" t="s">
        <v>124</v>
      </c>
      <c r="M215" s="31" t="s">
        <v>125</v>
      </c>
    </row>
    <row r="216" spans="1:13" ht="12.75" x14ac:dyDescent="0.2">
      <c r="A216" s="1"/>
      <c r="B216" s="1"/>
      <c r="C216" s="1"/>
      <c r="D216" s="3"/>
      <c r="E216" s="3"/>
      <c r="F216" s="3"/>
      <c r="G216" s="3"/>
      <c r="H216" s="3"/>
      <c r="I216" s="3"/>
      <c r="J216" s="3"/>
      <c r="K216" s="3"/>
      <c r="L216" s="3"/>
      <c r="M216" s="3"/>
    </row>
    <row r="217" spans="1:13" ht="12.75" x14ac:dyDescent="0.2">
      <c r="A217" s="2" t="s">
        <v>50</v>
      </c>
      <c r="B217" s="1"/>
      <c r="C217" s="1"/>
      <c r="D217" s="16">
        <f t="shared" ref="D217:M217" si="63">D92</f>
        <v>18814.16</v>
      </c>
      <c r="E217" s="16">
        <f t="shared" si="63"/>
        <v>19190.443200000002</v>
      </c>
      <c r="F217" s="16">
        <f t="shared" si="63"/>
        <v>19574.252064</v>
      </c>
      <c r="G217" s="16">
        <f t="shared" si="63"/>
        <v>19965.737105280001</v>
      </c>
      <c r="H217" s="16">
        <f t="shared" si="63"/>
        <v>20365.051847385603</v>
      </c>
      <c r="I217" s="16">
        <f t="shared" si="63"/>
        <v>20772.352884333315</v>
      </c>
      <c r="J217" s="16">
        <f t="shared" si="63"/>
        <v>21187.799942019981</v>
      </c>
      <c r="K217" s="16">
        <f t="shared" si="63"/>
        <v>21611.555940860377</v>
      </c>
      <c r="L217" s="16">
        <f t="shared" si="63"/>
        <v>22043.787059677587</v>
      </c>
      <c r="M217" s="16">
        <f t="shared" si="63"/>
        <v>22484.662800871138</v>
      </c>
    </row>
    <row r="218" spans="1:13" ht="12.75" x14ac:dyDescent="0.2">
      <c r="A218" s="2" t="s">
        <v>89</v>
      </c>
      <c r="B218" s="1"/>
      <c r="C218" s="1"/>
      <c r="D218" s="16">
        <f t="shared" ref="D218:M218" si="64">D99</f>
        <v>16472.495250847773</v>
      </c>
      <c r="E218" s="16">
        <f t="shared" si="64"/>
        <v>16472.495250847773</v>
      </c>
      <c r="F218" s="16">
        <f t="shared" si="64"/>
        <v>16472.495250847773</v>
      </c>
      <c r="G218" s="16">
        <f t="shared" si="64"/>
        <v>16472.495250847773</v>
      </c>
      <c r="H218" s="16">
        <f t="shared" si="64"/>
        <v>16472.495250847773</v>
      </c>
      <c r="I218" s="16">
        <f t="shared" si="64"/>
        <v>16472.495250847773</v>
      </c>
      <c r="J218" s="16">
        <f t="shared" si="64"/>
        <v>16472.495250847773</v>
      </c>
      <c r="K218" s="16">
        <f t="shared" si="64"/>
        <v>16472.495250847773</v>
      </c>
      <c r="L218" s="16">
        <f t="shared" si="64"/>
        <v>16472.495250847773</v>
      </c>
      <c r="M218" s="16">
        <f t="shared" si="64"/>
        <v>16472.495250847773</v>
      </c>
    </row>
    <row r="219" spans="1:13" ht="12.75" x14ac:dyDescent="0.2">
      <c r="A219" s="2" t="s">
        <v>110</v>
      </c>
      <c r="B219" s="1"/>
      <c r="C219" s="1"/>
      <c r="D219" s="20">
        <f t="shared" ref="D219:M219" si="65">D217/D218</f>
        <v>1.142156043361537</v>
      </c>
      <c r="E219" s="20">
        <f t="shared" si="65"/>
        <v>1.1649991642287678</v>
      </c>
      <c r="F219" s="20">
        <f t="shared" si="65"/>
        <v>1.1882991475133431</v>
      </c>
      <c r="G219" s="20">
        <f t="shared" si="65"/>
        <v>1.2120651304636099</v>
      </c>
      <c r="H219" s="20">
        <f t="shared" si="65"/>
        <v>1.2363064330728823</v>
      </c>
      <c r="I219" s="20">
        <f t="shared" si="65"/>
        <v>1.2610325617343399</v>
      </c>
      <c r="J219" s="20">
        <f t="shared" si="65"/>
        <v>1.2862532129690267</v>
      </c>
      <c r="K219" s="20">
        <f t="shared" si="65"/>
        <v>1.311978277228407</v>
      </c>
      <c r="L219" s="20">
        <f t="shared" si="65"/>
        <v>1.3382178427729752</v>
      </c>
      <c r="M219" s="20">
        <f t="shared" si="65"/>
        <v>1.3649821996284348</v>
      </c>
    </row>
    <row r="220" spans="1:13" ht="12.75" x14ac:dyDescent="0.2">
      <c r="A220" s="1"/>
      <c r="B220" s="1"/>
      <c r="C220" s="1"/>
      <c r="D220" s="3"/>
      <c r="E220" s="3"/>
      <c r="F220" s="3"/>
      <c r="G220" s="3"/>
      <c r="H220" s="3"/>
      <c r="I220" s="3"/>
      <c r="J220" s="3"/>
      <c r="K220" s="3"/>
      <c r="L220" s="3"/>
      <c r="M220" s="3"/>
    </row>
    <row r="221" spans="1:13" ht="12.75" x14ac:dyDescent="0.2">
      <c r="A221" s="1"/>
      <c r="B221" s="1"/>
      <c r="C221" s="1"/>
      <c r="D221" s="3"/>
      <c r="E221" s="4"/>
      <c r="F221" s="3"/>
      <c r="G221" s="3"/>
      <c r="H221" s="3"/>
      <c r="I221" s="3"/>
      <c r="J221" s="3"/>
      <c r="K221" s="3"/>
      <c r="L221" s="4" t="s">
        <v>183</v>
      </c>
      <c r="M221" s="3"/>
    </row>
    <row r="222" spans="1:13" ht="12.75" x14ac:dyDescent="0.2">
      <c r="A222" s="2" t="s">
        <v>91</v>
      </c>
      <c r="B222" s="1"/>
      <c r="C222" s="2"/>
      <c r="D222" s="3"/>
      <c r="E222" s="3"/>
      <c r="F222" s="3"/>
      <c r="G222" s="3"/>
      <c r="H222" s="3"/>
      <c r="I222" s="3"/>
      <c r="J222" s="3"/>
      <c r="K222" s="3"/>
      <c r="L222" s="3"/>
      <c r="M222" s="3"/>
    </row>
    <row r="223" spans="1:13" ht="12.75" x14ac:dyDescent="0.2">
      <c r="A223" s="2" t="s">
        <v>92</v>
      </c>
      <c r="B223" s="1"/>
      <c r="C223" s="2" t="s">
        <v>108</v>
      </c>
      <c r="D223" s="3"/>
      <c r="E223" s="3"/>
      <c r="F223" s="3"/>
      <c r="G223" s="3"/>
      <c r="H223" s="4" t="s">
        <v>90</v>
      </c>
      <c r="I223" s="11">
        <f ca="1">TRUNC(NOW())</f>
        <v>45050</v>
      </c>
      <c r="J223" s="3"/>
      <c r="K223" s="3"/>
      <c r="L223" s="3"/>
      <c r="M223" s="3"/>
    </row>
    <row r="224" spans="1:13" ht="12.75" x14ac:dyDescent="0.2">
      <c r="A224" s="2" t="s">
        <v>0</v>
      </c>
      <c r="B224" s="1"/>
      <c r="C224" s="12">
        <f>E13</f>
        <v>0</v>
      </c>
      <c r="D224" s="3"/>
      <c r="E224" s="3"/>
      <c r="F224" s="3"/>
      <c r="G224" s="3"/>
      <c r="H224" s="3"/>
      <c r="I224" s="3"/>
      <c r="J224" s="3"/>
      <c r="K224" s="3"/>
      <c r="L224" s="3"/>
      <c r="M224" s="3"/>
    </row>
    <row r="225" spans="1:13" x14ac:dyDescent="0.15">
      <c r="D225" s="28"/>
      <c r="F225" s="28"/>
      <c r="G225" s="28"/>
      <c r="H225" s="28"/>
      <c r="I225" s="28"/>
      <c r="J225" s="28"/>
      <c r="K225" s="28"/>
      <c r="L225" s="28"/>
      <c r="M225" s="28"/>
    </row>
    <row r="226" spans="1:13" x14ac:dyDescent="0.15">
      <c r="A226" s="34" t="s">
        <v>94</v>
      </c>
    </row>
    <row r="227" spans="1:13" x14ac:dyDescent="0.15">
      <c r="A227" s="34" t="s">
        <v>93</v>
      </c>
    </row>
    <row r="229" spans="1:13" ht="12.75" x14ac:dyDescent="0.2">
      <c r="A229" s="1" t="s">
        <v>154</v>
      </c>
      <c r="C229" s="1"/>
      <c r="D229" s="1"/>
      <c r="E229" s="3"/>
      <c r="F229" s="2"/>
      <c r="G229" s="1"/>
      <c r="H229" s="1"/>
      <c r="I229" s="1"/>
      <c r="J229" s="1"/>
    </row>
    <row r="230" spans="1:13" ht="12.75" x14ac:dyDescent="0.2">
      <c r="A230" s="1" t="s">
        <v>155</v>
      </c>
      <c r="B230" s="1"/>
      <c r="C230" s="1"/>
      <c r="D230" s="1"/>
      <c r="E230" s="3"/>
      <c r="F230" s="2"/>
      <c r="G230" s="1"/>
      <c r="H230" s="1"/>
      <c r="I230" s="1"/>
      <c r="J230" s="1"/>
    </row>
    <row r="232" spans="1:13" x14ac:dyDescent="0.15">
      <c r="C232" s="35" t="s">
        <v>158</v>
      </c>
    </row>
    <row r="233" spans="1:13" x14ac:dyDescent="0.15">
      <c r="A233" s="23" t="s">
        <v>159</v>
      </c>
    </row>
    <row r="234" spans="1:13" x14ac:dyDescent="0.15">
      <c r="A234" s="23" t="s">
        <v>160</v>
      </c>
    </row>
    <row r="258" spans="1:13" x14ac:dyDescent="0.15">
      <c r="A258" s="23" t="s">
        <v>166</v>
      </c>
    </row>
    <row r="259" spans="1:13" x14ac:dyDescent="0.15">
      <c r="A259" s="36"/>
      <c r="B259" s="36"/>
      <c r="C259" s="36"/>
      <c r="D259" s="36"/>
      <c r="E259" s="37"/>
      <c r="F259" s="36"/>
      <c r="G259" s="36"/>
      <c r="H259" s="36"/>
      <c r="I259" s="36"/>
      <c r="J259" s="36"/>
      <c r="K259" s="36"/>
      <c r="L259" s="36"/>
      <c r="M259" s="36"/>
    </row>
  </sheetData>
  <hyperlinks>
    <hyperlink ref="D10" r:id="rId1" display="http://www.mortgage-investments.com/"/>
    <hyperlink ref="C232" r:id="rId2" display="http://www.mortgage-investments.com/"/>
    <hyperlink ref="A7" r:id="rId3" display="http://www.mortgage-investments.com/"/>
  </hyperlinks>
  <pageMargins left="0.7" right="0.7" top="0.75" bottom="0.75" header="0.3" footer="0.3"/>
  <pageSetup orientation="portrait" horizontalDpi="4294967294"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ALL TOTAL</vt:lpstr>
      <vt:lpstr>169</vt:lpstr>
      <vt:lpstr>17</vt:lpstr>
      <vt:lpstr>60</vt:lpstr>
      <vt:lpstr>28</vt:lpstr>
      <vt:lpstr>'60'!Print_Area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c:creator>
  <cp:lastModifiedBy>Ken</cp:lastModifiedBy>
  <cp:lastPrinted>2011-02-02T11:52:52Z</cp:lastPrinted>
  <dcterms:created xsi:type="dcterms:W3CDTF">1999-10-15T19:40:07Z</dcterms:created>
  <dcterms:modified xsi:type="dcterms:W3CDTF">2023-05-04T14:16:01Z</dcterms:modified>
</cp:coreProperties>
</file>